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8U+PJCwD7erA8PufnaOdx7ufzlC658jtWX24O0t1AhBKZrSrbs8PptykiKhTJQeLiYNbrA+5j16OctjN+b96/w==" workbookSaltValue="36R+aDqBrbRDXRSn9LjF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F17" i="13"/>
  <c r="E32" i="20"/>
  <c r="AI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R32" i="20"/>
  <c r="BF17" i="8" l="1"/>
  <c r="AL21" i="11"/>
  <c r="L17" i="14"/>
  <c r="F16" i="11"/>
  <c r="AQ16" i="11" s="1"/>
  <c r="R8" i="9"/>
  <c r="X12" i="21" s="1"/>
  <c r="P13" i="14"/>
  <c r="BE17" i="13"/>
  <c r="BF16" i="13"/>
  <c r="BG17" i="13"/>
  <c r="BF11" i="11"/>
  <c r="BL9" i="11"/>
  <c r="T9" i="11"/>
  <c r="S20" i="14"/>
  <c r="V20" i="14" s="1"/>
  <c r="BH16"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S13" i="17"/>
  <c r="S12" i="14"/>
  <c r="V12" i="14" s="1"/>
  <c r="S17" i="14"/>
  <c r="V17" i="14" s="1"/>
  <c r="R10" i="14"/>
  <c r="R17" i="14"/>
  <c r="R29" i="14"/>
  <c r="T21" i="11"/>
  <c r="T29" i="11"/>
  <c r="S9" i="14"/>
  <c r="V9" i="14" s="1"/>
  <c r="T20" i="11"/>
  <c r="X25" i="17"/>
  <c r="AA29" i="16"/>
  <c r="X22" i="17"/>
  <c r="X10" i="17"/>
  <c r="X16" i="17"/>
  <c r="X11" i="17"/>
  <c r="T18" i="20"/>
  <c r="X18" i="20"/>
  <c r="X19" i="20"/>
  <c r="X20" i="20"/>
  <c r="AA12" i="21"/>
  <c r="V16" i="16"/>
  <c r="V19" i="16"/>
  <c r="T19" i="20"/>
  <c r="V16" i="20"/>
  <c r="V23" i="20" s="1"/>
  <c r="X25" i="16"/>
  <c r="X30" i="16" s="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K9" i="12"/>
  <c r="X9" i="17"/>
  <c r="AA18" i="16"/>
  <c r="X13" i="17"/>
  <c r="AA17" i="16"/>
  <c r="AA28" i="16"/>
  <c r="T18" i="11"/>
  <c r="S16" i="14"/>
  <c r="V16" i="14" s="1"/>
  <c r="T11" i="11"/>
  <c r="T25" i="11"/>
  <c r="T13" i="11"/>
  <c r="R19" i="14"/>
  <c r="R12" i="14"/>
  <c r="S29" i="14"/>
  <c r="V29" i="14" s="1"/>
  <c r="S19" i="14"/>
  <c r="V19" i="14" s="1"/>
  <c r="R13" i="14"/>
  <c r="R14" i="14" s="1"/>
  <c r="S16" i="16"/>
  <c r="S23" i="16" s="1"/>
  <c r="BF20" i="11"/>
  <c r="S22" i="17"/>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K13" i="11"/>
  <c r="BH11" i="16"/>
  <c r="BH18" i="16"/>
  <c r="BH21" i="16"/>
  <c r="BM17" i="11"/>
  <c r="BF21" i="11"/>
  <c r="BF17" i="11"/>
  <c r="BK21" i="11"/>
  <c r="BI25" i="11"/>
  <c r="V13" i="11"/>
  <c r="BF19" i="11"/>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P16" i="17"/>
  <c r="BL20" i="11"/>
  <c r="Q20" i="11" s="1"/>
  <c r="BF12" i="11"/>
  <c r="BL16" i="11"/>
  <c r="Q16" i="11" s="1"/>
  <c r="BH25" i="16"/>
  <c r="BH21" i="11"/>
  <c r="BK20" i="11"/>
  <c r="AZ25" i="11"/>
  <c r="AZ30" i="11" s="1"/>
  <c r="BJ10" i="11"/>
  <c r="BK17" i="11"/>
  <c r="Q16" i="17"/>
  <c r="BM18" i="11"/>
  <c r="BF16" i="11"/>
  <c r="BH17" i="11"/>
  <c r="BL22" i="11"/>
  <c r="AQ12" i="21"/>
  <c r="BI22" i="11"/>
  <c r="BH25" i="11"/>
  <c r="BK10" i="11"/>
  <c r="BI21" i="11"/>
  <c r="L22" i="2"/>
  <c r="X22" i="16"/>
  <c r="S16" i="17"/>
  <c r="S17" i="17"/>
  <c r="L12" i="2"/>
  <c r="X19" i="16"/>
  <c r="X10" i="21"/>
  <c r="L20" i="2"/>
  <c r="U9" i="17"/>
  <c r="U31" i="17" s="1"/>
  <c r="V10" i="16"/>
  <c r="V9" i="16"/>
  <c r="X13" i="16"/>
  <c r="V11" i="16"/>
  <c r="V25" i="11"/>
  <c r="BF10" i="11"/>
  <c r="BL12" i="11"/>
  <c r="V11" i="11"/>
  <c r="BM12" i="11"/>
  <c r="V9" i="11"/>
  <c r="BI19" i="11"/>
  <c r="R25" i="14"/>
  <c r="Q18" i="17"/>
  <c r="S10" i="17"/>
  <c r="BI29" i="11"/>
  <c r="BG17" i="11"/>
  <c r="BJ17" i="11"/>
  <c r="BL17" i="11"/>
  <c r="BH22" i="11"/>
  <c r="BJ16" i="11"/>
  <c r="AP16" i="20"/>
  <c r="V20" i="11"/>
  <c r="BG19" i="11"/>
  <c r="BL29" i="11"/>
  <c r="BW20" i="20"/>
  <c r="BV18" i="16"/>
  <c r="BV12" i="16"/>
  <c r="BV16" i="16"/>
  <c r="U10" i="17"/>
  <c r="BU18" i="17"/>
  <c r="BU12" i="17"/>
  <c r="T16" i="11"/>
  <c r="BI20" i="11"/>
  <c r="BI9" i="11"/>
  <c r="BL28" i="11"/>
  <c r="BL10" i="11"/>
  <c r="BH10" i="16"/>
  <c r="BH11" i="11"/>
  <c r="S18" i="17"/>
  <c r="BM9" i="11"/>
  <c r="BH12" i="16"/>
  <c r="BK22" i="11"/>
  <c r="L10" i="2"/>
  <c r="X21" i="20"/>
  <c r="L16" i="2"/>
  <c r="L18" i="2"/>
  <c r="X16" i="16"/>
  <c r="X23" i="16" s="1"/>
  <c r="L9" i="2"/>
  <c r="V25" i="16"/>
  <c r="AP22" i="20"/>
  <c r="BL25" i="11"/>
  <c r="Q25" i="11" s="1"/>
  <c r="AZ9" i="11"/>
  <c r="T16" i="16"/>
  <c r="T23" i="16" s="1"/>
  <c r="T31" i="16" s="1"/>
  <c r="BV19" i="16"/>
  <c r="BW18" i="20"/>
  <c r="BW12" i="20"/>
  <c r="BW16" i="20"/>
  <c r="BV10" i="16"/>
  <c r="V12" i="16"/>
  <c r="S28" i="17"/>
  <c r="BH10" i="11"/>
  <c r="AQ10" i="21"/>
  <c r="AO29" i="17"/>
  <c r="BM21" i="11"/>
  <c r="AO25" i="17"/>
  <c r="L28" i="2"/>
  <c r="L17" i="2"/>
  <c r="AA11" i="16"/>
  <c r="X12" i="17"/>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L31" i="21"/>
  <c r="AA31" i="11"/>
  <c r="AZ31" i="11"/>
  <c r="AZ14" i="11"/>
  <c r="BJ23" i="11"/>
  <c r="P23" i="17"/>
  <c r="P31" i="17" s="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<sst xmlns="http://schemas.openxmlformats.org/spreadsheetml/2006/main" count="2682" uniqueCount="1193">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</sst>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mFPgAdI5Pv9xz+cxLZ3Url+Yyy5m51Sr5icLoJQQDNO5TCP8qavWi9T3kObQ0d/Wz0GnMbafPf86fD3Aq4OA==" saltValue="MG6kGZ4dqPxPX2O7DHxE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0</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39.314814814814817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315</v>
      </c>
      <c r="D17" s="239">
        <f>IF(ISNUMBER(IF(D_I="SI",Datos!I17,Datos!I17+Datos!AC17)),IF(D_I="SI",Datos!I17,Datos!I17+Datos!AC17)," - ")</f>
        <v>310</v>
      </c>
      <c r="E17" s="240">
        <f>IF(ISNUMBER(IF(D_I="SI",Datos!J17,Datos!J17+Datos!AD17)),IF(D_I="SI",Datos!J17,Datos!J17+Datos!AD17)," - ")</f>
        <v>282</v>
      </c>
      <c r="F17" s="240">
        <f>IF(ISNUMBER(IF(D_I="SI",Datos!K17,Datos!K17+Datos!AE17)),IF(D_I="SI",Datos!K17,Datos!K17+Datos!AE17)," - ")</f>
        <v>217</v>
      </c>
      <c r="G17" s="1390" t="str">
        <f>IF(Datos!E17&lt;&gt;"",Datos!E17,Datos!D17)</f>
        <v>04</v>
      </c>
      <c r="H17" s="241">
        <f>IF(ISNUMBER(IF(D_I="SI",Datos!L17,Datos!L17+Datos!AF17)),IF(D_I="SI",Datos!L17,Datos!L17+Datos!AF17)," - ")</f>
        <v>380</v>
      </c>
      <c r="I17" s="1400" t="str">
        <f>IF(ISNUMBER(Datos!AS17/Datos!BM17),Datos!AS17/Datos!BM17," - ")</f>
        <v xml:space="preserve"> - </v>
      </c>
      <c r="J17" s="1401">
        <f>IF(ISNUMBER(Datos!BY17/Datos!CN17),Datos!BY17/Datos!CN17," - ")</f>
        <v>0</v>
      </c>
      <c r="K17" s="244">
        <f t="shared" si="3"/>
        <v>0.20634920634920634</v>
      </c>
      <c r="L17" s="1402">
        <f>IF(ISNUMBER(NºAsuntos!I17/NºAsuntos!G17),(NºAsuntos!I17/NºAsuntos!G17)*11," - ")</f>
        <v>19.262672811059907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20</v>
      </c>
      <c r="E18" s="240">
        <f>IF(ISNUMBER(IF(D_I="SI",Datos!J18,Datos!J18+Datos!AD18)),IF(D_I="SI",Datos!J18,Datos!J18+Datos!AD18)," - ")</f>
        <v>39</v>
      </c>
      <c r="F18" s="240">
        <f>IF(ISNUMBER(IF(D_I="SI",Datos!K18,Datos!K18+Datos!AE18)),IF(D_I="SI",Datos!K18,Datos!K18+Datos!AE18)," - ")</f>
        <v>30</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0.45</v>
      </c>
      <c r="L18" s="1402">
        <f>IF(ISNUMBER(NºAsuntos!I18/NºAsuntos!G18),(NºAsuntos!I18/NºAsuntos!G18)*11," - ")</f>
        <v>10.633333333333333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335</v>
      </c>
      <c r="D23" s="1407">
        <f>SUBTOTAL(9,D16:D22)</f>
        <v>330</v>
      </c>
      <c r="E23" s="1408">
        <f>SUBTOTAL(9,E16:E22)</f>
        <v>321</v>
      </c>
      <c r="F23" s="1408">
        <f>SUBTOTAL(9,F16:F22)</f>
        <v>247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339</v>
      </c>
      <c r="D31" s="1435">
        <f>SUBTOTAL(9,D9:D30)</f>
        <v>334</v>
      </c>
      <c r="E31" s="1436">
        <f>SUBTOTAL(9,E9:E30)</f>
        <v>322</v>
      </c>
      <c r="F31" s="1436">
        <f>SUBTOTAL(9,F9:F30)</f>
        <v>247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KW6ko/RsBst0l+RyGPKTdjRWh24owjwxuyOhfSYxGluIr80IPuagqileA4EP0m2Se/VQoFhojoIb0m3bPb8gQ==" saltValue="4jxlzxNHpOI7xorU75zX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sA//oXTAvhuhCeNcF+jq1EFwaF3kAWypJ8rvjGmmoS9AjmFSUW2AB4ZkTJqDTlWfjJA39XnYl+dE20G21QW/g==" saltValue="tu6Zp1v8YZ5+5qRO/1tv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0</v>
      </c>
      <c r="L10" s="194">
        <v>5</v>
      </c>
      <c r="M10" s="194">
        <v>0</v>
      </c>
      <c r="N10" s="194">
        <v>0</v>
      </c>
      <c r="O10" s="194">
        <v>1</v>
      </c>
      <c r="P10" s="194">
        <v>0</v>
      </c>
      <c r="Q10" s="194">
        <v>1</v>
      </c>
      <c r="R10" s="194">
        <v>0</v>
      </c>
      <c r="S10" s="194">
        <v>3</v>
      </c>
      <c r="T10" s="194">
        <v>3</v>
      </c>
      <c r="U10" s="194">
        <v>3</v>
      </c>
      <c r="V10" s="194">
        <v>3</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3</v>
      </c>
      <c r="BA10" s="139">
        <f t="shared" si="0"/>
        <v>3</v>
      </c>
      <c r="BB10" s="139">
        <f t="shared" si="0"/>
        <v>3</v>
      </c>
      <c r="BC10" s="135">
        <f t="shared" si="0"/>
        <v>4</v>
      </c>
      <c r="BD10" s="136">
        <f>IF(ISNUMBER(BA10/AZ10),BA10/AZ10," - ")</f>
        <v>1</v>
      </c>
      <c r="BE10" s="137">
        <f>IF(ISNUMBER(BB10/BA10),BB10/BA10, " - ")</f>
        <v>1</v>
      </c>
      <c r="BF10" s="137">
        <f>IF(ISNUMBER(BC10/BA10),BC10/BA10, " - ")</f>
        <v>1.3333333333333333</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463</v>
      </c>
      <c r="J12" s="196">
        <v>235</v>
      </c>
      <c r="K12" s="196">
        <v>142</v>
      </c>
      <c r="L12" s="196">
        <v>556</v>
      </c>
      <c r="M12" s="196">
        <v>65</v>
      </c>
      <c r="N12" s="196">
        <v>38</v>
      </c>
      <c r="O12" s="194">
        <v>90</v>
      </c>
      <c r="P12" s="196">
        <v>58</v>
      </c>
      <c r="Q12" s="196">
        <v>46</v>
      </c>
      <c r="R12" s="196">
        <v>1218</v>
      </c>
      <c r="S12" s="196">
        <v>461</v>
      </c>
      <c r="T12" s="196">
        <v>185</v>
      </c>
      <c r="U12" s="196">
        <v>196</v>
      </c>
      <c r="V12" s="196">
        <v>450</v>
      </c>
      <c r="W12" s="196">
        <v>58</v>
      </c>
      <c r="X12" s="202">
        <v>67</v>
      </c>
      <c r="Y12" s="204">
        <v>20</v>
      </c>
      <c r="Z12" s="194">
        <v>23</v>
      </c>
      <c r="AA12" s="194">
        <v>20</v>
      </c>
      <c r="AB12" s="194">
        <v>23</v>
      </c>
      <c r="AC12" s="196">
        <v>0</v>
      </c>
      <c r="AD12" s="196">
        <v>0</v>
      </c>
      <c r="AE12" s="196">
        <v>0</v>
      </c>
      <c r="AF12" s="202">
        <v>0</v>
      </c>
      <c r="AG12" s="215">
        <v>19</v>
      </c>
      <c r="AH12" s="196">
        <v>12</v>
      </c>
      <c r="AI12" s="196">
        <v>16</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480</v>
      </c>
      <c r="AZ12" s="137">
        <f t="shared" si="1"/>
        <v>197</v>
      </c>
      <c r="BA12" s="137">
        <f t="shared" si="1"/>
        <v>212</v>
      </c>
      <c r="BB12" s="137">
        <f t="shared" si="1"/>
        <v>465</v>
      </c>
      <c r="BC12" s="135">
        <f>IF(ISNUMBER(X12),X12," - ")</f>
        <v>67</v>
      </c>
      <c r="BD12" s="136">
        <f t="shared" si="2"/>
        <v>1.0761421319796953</v>
      </c>
      <c r="BE12" s="137">
        <f t="shared" si="3"/>
        <v>2.1933962264150941</v>
      </c>
      <c r="BF12" s="137">
        <f t="shared" si="4"/>
        <v>0.31603773584905659</v>
      </c>
      <c r="BG12" s="209">
        <f t="shared" si="5"/>
        <v>3.1933962264150941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467</v>
      </c>
      <c r="J14" s="197">
        <f t="shared" si="7"/>
        <v>236</v>
      </c>
      <c r="K14" s="197">
        <f t="shared" si="7"/>
        <v>142</v>
      </c>
      <c r="L14" s="197">
        <f t="shared" si="7"/>
        <v>561</v>
      </c>
      <c r="M14" s="197">
        <f t="shared" si="7"/>
        <v>65</v>
      </c>
      <c r="N14" s="197">
        <f t="shared" si="7"/>
        <v>38</v>
      </c>
      <c r="O14" s="197">
        <f t="shared" si="7"/>
        <v>91</v>
      </c>
      <c r="P14" s="197">
        <f t="shared" si="7"/>
        <v>58</v>
      </c>
      <c r="Q14" s="197">
        <f t="shared" si="7"/>
        <v>47</v>
      </c>
      <c r="R14" s="197">
        <f t="shared" si="7"/>
        <v>1218</v>
      </c>
      <c r="S14" s="197">
        <f t="shared" si="7"/>
        <v>464</v>
      </c>
      <c r="T14" s="197">
        <f t="shared" si="7"/>
        <v>188</v>
      </c>
      <c r="U14" s="197">
        <f t="shared" si="7"/>
        <v>199</v>
      </c>
      <c r="V14" s="197">
        <f t="shared" si="7"/>
        <v>453</v>
      </c>
      <c r="W14" s="197">
        <f t="shared" si="7"/>
        <v>62</v>
      </c>
      <c r="X14" s="197">
        <f t="shared" si="7"/>
        <v>68</v>
      </c>
      <c r="Y14" s="197">
        <f t="shared" si="7"/>
        <v>20</v>
      </c>
      <c r="Z14" s="197">
        <f t="shared" si="7"/>
        <v>23</v>
      </c>
      <c r="AA14" s="197">
        <f t="shared" si="7"/>
        <v>20</v>
      </c>
      <c r="AB14" s="197">
        <f t="shared" si="7"/>
        <v>23</v>
      </c>
      <c r="AC14" s="197">
        <f t="shared" si="7"/>
        <v>0</v>
      </c>
      <c r="AD14" s="197">
        <f t="shared" si="7"/>
        <v>0</v>
      </c>
      <c r="AE14" s="197">
        <f t="shared" si="7"/>
        <v>0</v>
      </c>
      <c r="AF14" s="197">
        <f>SUBTOTAL(9,AF9:AF13)</f>
        <v>0</v>
      </c>
      <c r="AG14" s="197">
        <f t="shared" ref="AG14:AT14" si="8">SUBTOTAL(9,AG8:AG13)</f>
        <v>19</v>
      </c>
      <c r="AH14" s="197">
        <f t="shared" si="8"/>
        <v>12</v>
      </c>
      <c r="AI14" s="197">
        <f t="shared" si="8"/>
        <v>16</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483</v>
      </c>
      <c r="AZ14" s="197">
        <f>SUBTOTAL(9,AZ8:AZ13)</f>
        <v>200</v>
      </c>
      <c r="BA14" s="197">
        <f>SUBTOTAL(9,BA8:BA13)</f>
        <v>215</v>
      </c>
      <c r="BB14" s="197">
        <f>SUBTOTAL(9,BB8:BB13)</f>
        <v>468</v>
      </c>
      <c r="BC14" s="197">
        <f>SUBTOTAL(9,BC8:BC13)</f>
        <v>71</v>
      </c>
      <c r="BD14" s="219">
        <f>IF(ISNUMBER(BA14/AZ14),BA14/AZ14," - ")</f>
        <v>1.075</v>
      </c>
      <c r="BE14" s="220">
        <f>IF(ISNUMBER(BB14/BA14),BB14/BA14, " - ")</f>
        <v>2.1767441860465118</v>
      </c>
      <c r="BF14" s="220">
        <f>IF(ISNUMBER(BC14/BA14),BC14/BA14, " - ")</f>
        <v>0.33023255813953489</v>
      </c>
      <c r="BG14" s="221">
        <f>IF(ISNUMBER((AY14+AZ14)/BA14),(AY14+AZ14)/BA14," - ")</f>
        <v>3.1767441860465118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310</v>
      </c>
      <c r="J17" s="196">
        <v>282</v>
      </c>
      <c r="K17" s="196">
        <v>217</v>
      </c>
      <c r="L17" s="196">
        <v>380</v>
      </c>
      <c r="M17" s="196">
        <v>26</v>
      </c>
      <c r="N17" s="196">
        <v>141</v>
      </c>
      <c r="O17" s="194">
        <v>11</v>
      </c>
      <c r="P17" s="196">
        <v>3</v>
      </c>
      <c r="Q17" s="196">
        <v>11</v>
      </c>
      <c r="R17" s="196">
        <v>39</v>
      </c>
      <c r="S17" s="196">
        <v>229</v>
      </c>
      <c r="T17" s="196">
        <v>267</v>
      </c>
      <c r="U17" s="196">
        <v>259</v>
      </c>
      <c r="V17" s="196">
        <v>244</v>
      </c>
      <c r="W17" s="196">
        <v>34</v>
      </c>
      <c r="X17" s="202">
        <v>167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229</v>
      </c>
      <c r="AZ17" s="137">
        <f t="shared" si="10"/>
        <v>267</v>
      </c>
      <c r="BA17" s="137">
        <f t="shared" si="10"/>
        <v>259</v>
      </c>
      <c r="BB17" s="137">
        <f t="shared" si="10"/>
        <v>244</v>
      </c>
      <c r="BC17" s="135">
        <f>IF(ISNUMBER(W17),W17," - ")</f>
        <v>34</v>
      </c>
      <c r="BD17" s="136">
        <f t="shared" ref="BD17:BD22" si="12">IF(ISNUMBER(BA17/AZ17),BA17/AZ17," - ")</f>
        <v>0.97003745318352064</v>
      </c>
      <c r="BE17" s="137">
        <f t="shared" ref="BE17:BE22" si="13">IF(ISNUMBER(BB17/BA17),BB17/BA17, " - ")</f>
        <v>0.94208494208494209</v>
      </c>
      <c r="BF17" s="137">
        <f t="shared" ref="BF17:BF22" si="14">IF(ISNUMBER(BC17/BA17),BC17/BA17, " - ")</f>
        <v>0.13127413127413126</v>
      </c>
      <c r="BG17" s="209">
        <f t="shared" si="11"/>
        <v>1.915057915057915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39</v>
      </c>
      <c r="K18" s="196">
        <v>30</v>
      </c>
      <c r="L18" s="196">
        <v>29</v>
      </c>
      <c r="M18" s="196">
        <v>4</v>
      </c>
      <c r="N18" s="196">
        <v>18</v>
      </c>
      <c r="O18" s="196">
        <v>0</v>
      </c>
      <c r="P18" s="196">
        <v>0</v>
      </c>
      <c r="Q18" s="196">
        <v>0</v>
      </c>
      <c r="R18" s="196">
        <v>0</v>
      </c>
      <c r="S18" s="196">
        <v>22</v>
      </c>
      <c r="T18" s="196">
        <v>33</v>
      </c>
      <c r="U18" s="196">
        <v>27</v>
      </c>
      <c r="V18" s="196">
        <v>28</v>
      </c>
      <c r="W18" s="196">
        <v>3</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33</v>
      </c>
      <c r="BA18" s="139">
        <f t="shared" si="15"/>
        <v>27</v>
      </c>
      <c r="BB18" s="139">
        <f t="shared" si="15"/>
        <v>28</v>
      </c>
      <c r="BC18" s="135">
        <f>IF(ISNUMBER(W18),W18," - ")</f>
        <v>3</v>
      </c>
      <c r="BD18" s="136">
        <f>IF(ISNUMBER(BA18/AZ18),BA18/AZ18," - ")</f>
        <v>0.81818181818181823</v>
      </c>
      <c r="BE18" s="137">
        <f>IF(ISNUMBER(BB18/BA18),BB18/BA18, " - ")</f>
        <v>1.037037037037037</v>
      </c>
      <c r="BF18" s="137">
        <f>IF(ISNUMBER(BC18/BA18),BC18/BA18, " - ")</f>
        <v>0.1111111111111111</v>
      </c>
      <c r="BG18" s="209">
        <f>IF(ISNUMBER((AY18+AZ18)/BA18),(AY18+AZ18)/BA18," - ")</f>
        <v>2.0370370370370372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330</v>
      </c>
      <c r="J23" s="197">
        <f t="shared" si="21"/>
        <v>321</v>
      </c>
      <c r="K23" s="197">
        <f t="shared" si="21"/>
        <v>247</v>
      </c>
      <c r="L23" s="197">
        <f t="shared" si="21"/>
        <v>409</v>
      </c>
      <c r="M23" s="197">
        <f t="shared" si="21"/>
        <v>30</v>
      </c>
      <c r="N23" s="197">
        <f t="shared" si="21"/>
        <v>159</v>
      </c>
      <c r="O23" s="197">
        <f t="shared" si="21"/>
        <v>11</v>
      </c>
      <c r="P23" s="197">
        <f t="shared" si="21"/>
        <v>3</v>
      </c>
      <c r="Q23" s="197">
        <f t="shared" si="21"/>
        <v>11</v>
      </c>
      <c r="R23" s="197">
        <f t="shared" si="21"/>
        <v>39</v>
      </c>
      <c r="S23" s="197">
        <f t="shared" si="21"/>
        <v>251</v>
      </c>
      <c r="T23" s="197">
        <f t="shared" si="21"/>
        <v>300</v>
      </c>
      <c r="U23" s="197">
        <f t="shared" si="21"/>
        <v>286</v>
      </c>
      <c r="V23" s="197">
        <f t="shared" si="21"/>
        <v>272</v>
      </c>
      <c r="W23" s="197">
        <f t="shared" si="21"/>
        <v>37</v>
      </c>
      <c r="X23" s="197">
        <f t="shared" si="21"/>
        <v>184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251</v>
      </c>
      <c r="AZ23" s="197">
        <f>SUBTOTAL(9,AZ15:AZ22)</f>
        <v>300</v>
      </c>
      <c r="BA23" s="197">
        <f>SUBTOTAL(9,BA15:BA22)</f>
        <v>286</v>
      </c>
      <c r="BB23" s="197">
        <f>SUBTOTAL(9,BB15:BB22)</f>
        <v>272</v>
      </c>
      <c r="BC23" s="197">
        <f>SUBTOTAL(9,BC15:BC22)</f>
        <v>37</v>
      </c>
      <c r="BD23" s="219">
        <f>IF(ISNUMBER(BA23/AZ23),BA23/AZ23," - ")</f>
        <v>0.95333333333333337</v>
      </c>
      <c r="BE23" s="220">
        <f>IF(ISNUMBER(BB23/BA23),BB23/BA23, " - ")</f>
        <v>0.95104895104895104</v>
      </c>
      <c r="BF23" s="220">
        <f>IF(ISNUMBER(BC23/BA23),BC23/BA23, " - ")</f>
        <v>0.12937062937062938</v>
      </c>
      <c r="BG23" s="221">
        <f>IF(ISNUMBER((AY23+AZ23)/BA23),(AY23+AZ23)/BA23," - ")</f>
        <v>1.9265734265734267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797</v>
      </c>
      <c r="J31" s="144">
        <f t="shared" si="36"/>
        <v>557</v>
      </c>
      <c r="K31" s="144">
        <f t="shared" si="36"/>
        <v>389</v>
      </c>
      <c r="L31" s="144">
        <f t="shared" si="36"/>
        <v>970</v>
      </c>
      <c r="M31" s="144">
        <f t="shared" si="36"/>
        <v>95</v>
      </c>
      <c r="N31" s="144">
        <f t="shared" si="36"/>
        <v>197</v>
      </c>
      <c r="O31" s="144">
        <f t="shared" si="36"/>
        <v>102</v>
      </c>
      <c r="P31" s="144">
        <f t="shared" si="36"/>
        <v>61</v>
      </c>
      <c r="Q31" s="144">
        <f t="shared" si="36"/>
        <v>58</v>
      </c>
      <c r="R31" s="144">
        <f t="shared" si="36"/>
        <v>1257</v>
      </c>
      <c r="S31" s="144">
        <f t="shared" si="36"/>
        <v>715</v>
      </c>
      <c r="T31" s="144">
        <f t="shared" si="36"/>
        <v>488</v>
      </c>
      <c r="U31" s="144">
        <f t="shared" si="36"/>
        <v>485</v>
      </c>
      <c r="V31" s="144">
        <f t="shared" si="36"/>
        <v>725</v>
      </c>
      <c r="W31" s="144">
        <f t="shared" si="36"/>
        <v>99</v>
      </c>
      <c r="X31" s="144">
        <f t="shared" si="36"/>
        <v>252</v>
      </c>
      <c r="Y31" s="144">
        <f t="shared" si="36"/>
        <v>20</v>
      </c>
      <c r="Z31" s="144">
        <f t="shared" si="36"/>
        <v>23</v>
      </c>
      <c r="AA31" s="144">
        <f t="shared" si="36"/>
        <v>20</v>
      </c>
      <c r="AB31" s="144">
        <f t="shared" si="36"/>
        <v>23</v>
      </c>
      <c r="AC31" s="144">
        <f t="shared" si="36"/>
        <v>0</v>
      </c>
      <c r="AD31" s="144">
        <f t="shared" si="36"/>
        <v>0</v>
      </c>
      <c r="AE31" s="144">
        <f t="shared" si="36"/>
        <v>0</v>
      </c>
      <c r="AF31" s="144">
        <f t="shared" si="36"/>
        <v>0</v>
      </c>
      <c r="AG31" s="144">
        <f t="shared" si="36"/>
        <v>19</v>
      </c>
      <c r="AH31" s="144">
        <f t="shared" si="36"/>
        <v>12</v>
      </c>
      <c r="AI31" s="144">
        <f t="shared" si="36"/>
        <v>16</v>
      </c>
      <c r="AJ31" s="144">
        <f t="shared" si="36"/>
        <v>15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734</v>
      </c>
      <c r="AZ31" s="144">
        <f>SUBTOTAL(9,AZ9:AZ30)</f>
        <v>500</v>
      </c>
      <c r="BA31" s="144">
        <f>SUBTOTAL(9,BA9:BA30)</f>
        <v>501</v>
      </c>
      <c r="BB31" s="144">
        <f>SUBTOTAL(9,BB9:BB30)</f>
        <v>740</v>
      </c>
      <c r="BC31" s="145">
        <f>SUBTOTAL(9,BC9:BC30)</f>
        <v>108</v>
      </c>
      <c r="BD31" s="227">
        <f>IF(ISNUMBER(BA31/AZ31),BA31/AZ31," - ")</f>
        <v>1.002</v>
      </c>
      <c r="BE31" s="224">
        <f>IF(ISNUMBER(BB31/BA31),BB31/BA31, " - ")</f>
        <v>1.4770459081836327</v>
      </c>
      <c r="BF31" s="224">
        <f>IF(ISNUMBER(BC31/BA31),BC31/BA31, " - ")</f>
        <v>0.21556886227544911</v>
      </c>
      <c r="BG31" s="145">
        <f>IF(ISNUMBER((AY31+AZ31)/BA31),(AY31+AZ31)/BA31," - ")</f>
        <v>2.463073852295409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9IsducFRovw8pUP/7I1+gkh7lMFqtjqRkZDkhFDKA9J1EkAftDjWUHCbWKafrCnk+Uoyhd/Dv/dHjLrSgBr+A==" saltValue="Cnp4dEkautjoqWcufZy9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03pkA6HmQMsP4QgrUmL75QnswIEWAMaEScpVzH0jVCgkj5DgItSbvyoOXvAgpitZL+5Ni10BudhaR70r7+hpQ==" saltValue="OgtSZ4qaGmRnVtPs2M45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ESTEPA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1218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0.62790697674418605</v>
      </c>
      <c r="BH12" s="764">
        <f>IF(ISNUMBER(((IF(J_V="SI",Datos!L12/Datos!K12,(Datos!L12+Datos!AB12)/(Datos!K12+Datos!AA12)))*11)/factor_trimestre),((IF(J_V="SI",Datos!L12/Datos!K12,(Datos!L12+Datos!AB12)/(Datos!K12+Datos!AA12)))*11)/factor_trimestre," - ")</f>
        <v>7.1481481481481488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9.9502487562189053E-3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47</v>
      </c>
      <c r="AD14" s="1198">
        <f t="shared" si="2"/>
        <v>0</v>
      </c>
      <c r="AE14" s="1198">
        <f t="shared" si="2"/>
        <v>0</v>
      </c>
      <c r="AF14" s="1198">
        <f t="shared" si="2"/>
        <v>5</v>
      </c>
      <c r="AG14" s="1198">
        <f t="shared" si="2"/>
        <v>0</v>
      </c>
      <c r="AH14" s="1198">
        <f t="shared" si="2"/>
        <v>23</v>
      </c>
      <c r="AI14" s="1198">
        <f t="shared" si="2"/>
        <v>0</v>
      </c>
      <c r="AJ14" s="1198">
        <f t="shared" si="2"/>
        <v>0</v>
      </c>
      <c r="AK14" s="1198">
        <f t="shared" si="2"/>
        <v>0</v>
      </c>
      <c r="AL14" s="1198">
        <f t="shared" si="2"/>
        <v>0</v>
      </c>
      <c r="AM14" s="1198">
        <f t="shared" si="2"/>
        <v>1218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v>
      </c>
      <c r="BD14" s="1198">
        <f t="shared" si="2"/>
        <v>38</v>
      </c>
      <c r="BE14" s="1198">
        <f t="shared" si="2"/>
        <v>0</v>
      </c>
      <c r="BF14" s="1198">
        <f t="shared" si="2"/>
        <v>0</v>
      </c>
      <c r="BG14" s="1198">
        <f>IF(ISNUMBER(Datos!K14/Datos!J14),Datos!K14/Datos!J14," - ")</f>
        <v>0.60169491525423724</v>
      </c>
      <c r="BH14" s="1202">
        <f>IF(ISNUMBER(((Datos!L14/Datos!K14)*11)/factor_trimestre),((Datos!L14/Datos!K14)*11)/factor_trimestre," - ")</f>
        <v>7.901408450704225</v>
      </c>
      <c r="BI14" s="1198">
        <f>IF(ISNUMBER('Resol  Asuntos'!D14/NºAsuntos!G14),'Resol  Asuntos'!D14/NºAsuntos!G14," - ")</f>
        <v>0.40123456790123457</v>
      </c>
      <c r="BJ14" s="1198" t="str">
        <f>IF(ISNUMBER(Datos!CI14/Datos!CJ14),Datos!CI14/Datos!CJ14," - ")</f>
        <v xml:space="preserve"> - </v>
      </c>
      <c r="BK14" s="1198">
        <f>SUBTOTAL(9,BK8:BK13)</f>
        <v>0</v>
      </c>
      <c r="BL14" s="1198">
        <f>IF(ISNUMBER((I14-AB14+L14)/(F14)),(I14-AB14+L14)/(F14)," - ")</f>
        <v>0</v>
      </c>
      <c r="BM14" s="1203">
        <f>SUBTOTAL(9,BM9:BM13)</f>
        <v>-0.99004975124378114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315</v>
      </c>
      <c r="G17" s="743">
        <f>IF(ISNUMBER(IF(D_I="SI",Datos!I17,Datos!I17+Datos!AC17)),IF(D_I="SI",Datos!I17,Datos!I17+Datos!AC17)," - ")</f>
        <v>310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217</v>
      </c>
      <c r="AC17" s="240">
        <f>IF(ISNUMBER(Datos!Q17),Datos!Q17," - ")</f>
        <v>11</v>
      </c>
      <c r="AD17" s="374"/>
      <c r="AE17" s="562"/>
      <c r="AF17" s="741">
        <f>IF(ISNUMBER(IF(D_I="SI",Datos!L17,Datos!L17+Datos!AF17)),IF(D_I="SI",Datos!L17,Datos!L17+Datos!AF17)," - ")</f>
        <v>380</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141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0.76950354609929073</v>
      </c>
      <c r="BH17" s="764">
        <f>IF(ISNUMBER(((IF(D_I="SI",Datos!L17/Datos!K17,(Datos!L17+Datos!AF17)/(Datos!K17+Datos!AE17)))*11)/factor_trimestre),((IF(D_I="SI",Datos!L17/Datos!K17,(Datos!L17+Datos!AF17)/(Datos!K17+Datos!AE17)))*11)/factor_trimestre," - ")</f>
        <v>3.5023041474654377</v>
      </c>
      <c r="BI17" s="266">
        <f>IF(ISNUMBER('Resol  Asuntos'!D17/NºAsuntos!G17),'Resol  Asuntos'!D17/NºAsuntos!G17," - ")</f>
        <v>0.11981566820276497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29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0.76923076923076927</v>
      </c>
      <c r="BH18" s="764">
        <f>IF(ISNUMBER(((IF(D_I="SI",Datos!L18/Datos!K18,(Datos!L18+Datos!AF18)/(Datos!K18+Datos!AE18)))*11)/factor_trimestre),((IF(D_I="SI",Datos!L18/Datos!K18,(Datos!L18+Datos!AF18)/(Datos!K18+Datos!AE18)))*11)/factor_trimestre," - ")</f>
        <v>1.9333333333333333</v>
      </c>
      <c r="BI18" s="763">
        <f>IF(ISNUMBER('Resol  Asuntos'!D18/NºAsuntos!G18),'Resol  Asuntos'!D18/NºAsuntos!G18," - ")</f>
        <v>0.13333333333333333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315</v>
      </c>
      <c r="G23" s="1197">
        <f>SUBTOTAL(9,G16:G22)</f>
        <v>330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247</v>
      </c>
      <c r="AC23" s="1198">
        <f t="shared" si="5"/>
        <v>11</v>
      </c>
      <c r="AD23" s="1198">
        <f t="shared" si="5"/>
        <v>0</v>
      </c>
      <c r="AE23" s="1198">
        <f t="shared" si="5"/>
        <v>0</v>
      </c>
      <c r="AF23" s="1198">
        <f t="shared" si="5"/>
        <v>409</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v>
      </c>
      <c r="BD23" s="1198">
        <f t="shared" si="5"/>
        <v>159</v>
      </c>
      <c r="BE23" s="1198">
        <f t="shared" si="5"/>
        <v>0</v>
      </c>
      <c r="BF23" s="1198">
        <f t="shared" si="5"/>
        <v>0</v>
      </c>
      <c r="BG23" s="1198">
        <f>IF(ISNUMBER(Datos!K23/Datos!J23),Datos!K23/Datos!J23," - ")</f>
        <v>0.76947040498442365</v>
      </c>
      <c r="BH23" s="1202">
        <f>IF(ISNUMBER(((Datos!L23/Datos!K23)*11)/factor_trimestre),((Datos!L23/Datos!K23)*11)/factor_trimestre," - ")</f>
        <v>3.3117408906882591</v>
      </c>
      <c r="BI23" s="1198">
        <f>SUBTOTAL(9,BI16:BI22)</f>
        <v>0.25314900153609832</v>
      </c>
      <c r="BJ23" s="1198">
        <f>SUBTOTAL(9,BJ16:BJ22)</f>
        <v>0</v>
      </c>
      <c r="BK23" s="1198">
        <f>SUBTOTAL(9,BK16:BK22)</f>
        <v>0</v>
      </c>
      <c r="BL23" s="1198">
        <f>IF(ISNUMBER((I23-AB23+L23)/(F23)),(I23-AB23+L23)/(F23)," - ")</f>
        <v>-0.78412698412698412</v>
      </c>
      <c r="BM23" s="1205">
        <f>IF(ISNUMBER((Datos!P23-Datos!Q23)/(Datos!R23-Datos!P23+Datos!Q23)),(Datos!P23-Datos!Q23)/(Datos!R23-Datos!P23+Datos!Q23)," - ")</f>
        <v>-0.1702127659574468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319</v>
      </c>
      <c r="G31" s="1117">
        <f t="shared" si="18"/>
        <v>334</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247</v>
      </c>
      <c r="AC31" s="1118">
        <f t="shared" si="19"/>
        <v>58</v>
      </c>
      <c r="AD31" s="1118">
        <f t="shared" si="19"/>
        <v>0</v>
      </c>
      <c r="AE31" s="1118">
        <f t="shared" si="19"/>
        <v>0</v>
      </c>
      <c r="AF31" s="1125">
        <f t="shared" si="19"/>
        <v>414</v>
      </c>
      <c r="AG31" s="1125">
        <f t="shared" si="19"/>
        <v>0</v>
      </c>
      <c r="AH31" s="1125">
        <f t="shared" si="19"/>
        <v>23</v>
      </c>
      <c r="AI31" s="1125">
        <f t="shared" si="19"/>
        <v>0</v>
      </c>
      <c r="AJ31" s="1118">
        <f t="shared" si="19"/>
        <v>0</v>
      </c>
      <c r="AK31" s="1125">
        <f t="shared" si="19"/>
        <v>0</v>
      </c>
      <c r="AL31" s="1125">
        <f t="shared" si="19"/>
        <v>0</v>
      </c>
      <c r="AM31" s="1125">
        <f t="shared" si="19"/>
        <v>1257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95</v>
      </c>
      <c r="BD31" s="1117">
        <f t="shared" si="19"/>
        <v>197</v>
      </c>
      <c r="BE31" s="1117">
        <f t="shared" si="19"/>
        <v>0</v>
      </c>
      <c r="BF31" s="1127">
        <f t="shared" si="19"/>
        <v>0</v>
      </c>
      <c r="BG31" s="1223">
        <f>IF(ISNUMBER(Datos!K31/Datos!J31),Datos!K31/Datos!J31," - ")</f>
        <v>0.69838420107719923</v>
      </c>
      <c r="BH31" s="1223">
        <f>IF(ISNUMBER(((Datos!L31/Datos!K31)*11)/factor_trimestre),((Datos!L31/Datos!K31)*11)/factor_trimestre," - ")</f>
        <v>4.987146529562982</v>
      </c>
      <c r="BI31" s="1103">
        <f>IF(ISNUMBER(Datos!J31/Datos!I31),Datos!J31/Datos!I31," - ")</f>
        <v>0.69887076537013804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-0.77429467084639503</v>
      </c>
      <c r="BM31" s="1188">
        <f>IF(ISNUMBER((Datos!P31-Datos!Q31+R31)/(Datos!R31-Datos!P31+Datos!Q31-R31)),(Datos!P31-Datos!Q31+R31)/(Datos!R31-Datos!P31+Datos!Q31-R31)," - ")</f>
        <v>2.3923444976076554E-3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161.64240367758291</v>
      </c>
      <c r="G33" s="674">
        <f>IF(ISNUMBER(STDEV(G8:G30)),STDEV(G8:G30),"-")</f>
        <v>153.6694039628114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111.15733165631667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28.105667959124748</v>
      </c>
      <c r="BD33" s="673"/>
      <c r="BE33" s="673">
        <f>IF(ISNUMBER(STDEV(BE8:BE30)),STDEV(BE8:BE30),"-")</f>
        <v>0</v>
      </c>
      <c r="BF33" s="678">
        <f>IF(ISNUMBER(STDEV(BF8:BF30)),STDEV(BF8:BF30),"-")</f>
        <v>0</v>
      </c>
      <c r="BG33" s="1052">
        <f>IF(ISNUMBER(STDEV(BG8:BG30)),STDEV(BG8:BG30),"-")</f>
        <v>0.29873992905880875</v>
      </c>
      <c r="BH33" s="1058">
        <f>IF(ISNUMBER(STDEV(BH8:BH30)),STDEV(BH8:BH30),"-")</f>
        <v>2.609645306474115</v>
      </c>
      <c r="BI33" s="273">
        <f>IF(ISNUMBER(STDEV(BI8:BI30)),STDEV(BI8:BI30),"-")</f>
        <v>0.13077120699636097</v>
      </c>
      <c r="BJ33" s="244" t="str">
        <f>IF(ISNUMBER(BL33/BM33),BL33/BM33," - ")</f>
        <v xml:space="preserve"> - </v>
      </c>
      <c r="BK33" s="709"/>
      <c r="BL33" s="681">
        <f>IF(ISNUMBER(STDEV(BL8:BL30)),STDEV(BL8:BL30),"-")</f>
        <v>0.55446150778754677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yA0QFVVwe6kOU/sRDtN44Qc9z1eegAmoDWiFtcdi2Jyru4i4pTZcylxKtx4HXk4lZw0QS7JZNSLjkuB+WYXpA==" saltValue="4D0if9+LiM8hP5q7H67i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ESTEPA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46</v>
      </c>
      <c r="AA12" s="551" t="str">
        <f>IF(ISNUMBER(IF(J_V="SI",Datos!L12,Datos!L12+Datos!AB12)-IF(Monitorios="SI",Datos!CD12,0)),
                          IF(J_V="SI",Datos!L12,Datos!L12+Datos!AB12)-IF(Monitorios="SI",Datos!CD12,0),
                          " - ")</f>
        <v xml:space="preserve"> - </v>
      </c>
      <c r="AB12" s="549"/>
      <c r="AC12" s="549"/>
      <c r="AD12" s="563"/>
      <c r="AE12" s="563">
        <f>IF(ISNUMBER(Datos!R12),Datos!R12," - ")</f>
        <v>1218</v>
      </c>
      <c r="AF12" s="693" t="str">
        <f>IF(ISNUMBER(Datos!BV12),Datos!BV12," - ")</f>
        <v xml:space="preserve"> - </v>
      </c>
      <c r="AG12" s="552" t="str">
        <f>IF(ISNUMBER(Datos!DV12),Datos!DV12," - ")</f>
        <v xml:space="preserve"> - </v>
      </c>
      <c r="AH12" s="553"/>
      <c r="AI12" s="554"/>
      <c r="AJ12" s="552">
        <f>IF(ISNUMBER(Datos!M12),Datos!M12," - ")</f>
        <v>65</v>
      </c>
      <c r="AK12" s="693">
        <f>IF(ISNUMBER(Datos!N12),Datos!N12," - ")</f>
        <v>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7.1481481481481488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9.9502487562189053E-3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47</v>
      </c>
      <c r="AA14" s="1199">
        <f t="shared" si="3"/>
        <v>5</v>
      </c>
      <c r="AB14" s="1199">
        <f t="shared" si="3"/>
        <v>0</v>
      </c>
      <c r="AC14" s="1199">
        <f t="shared" si="3"/>
        <v>0</v>
      </c>
      <c r="AD14" s="1199">
        <f t="shared" si="3"/>
        <v>0</v>
      </c>
      <c r="AE14" s="1199">
        <f t="shared" si="3"/>
        <v>1218</v>
      </c>
      <c r="AF14" s="1211">
        <f t="shared" si="3"/>
        <v>0</v>
      </c>
      <c r="AG14" s="1211">
        <f t="shared" si="3"/>
        <v>0</v>
      </c>
      <c r="AH14" s="1211">
        <f t="shared" si="3"/>
        <v>0</v>
      </c>
      <c r="AI14" s="1211">
        <f t="shared" si="3"/>
        <v>0</v>
      </c>
      <c r="AJ14" s="1211">
        <f t="shared" si="3"/>
        <v>65</v>
      </c>
      <c r="AK14" s="1211">
        <f t="shared" si="3"/>
        <v>38</v>
      </c>
      <c r="AL14" s="1211">
        <f t="shared" si="3"/>
        <v>0</v>
      </c>
      <c r="AM14" s="1211">
        <f t="shared" si="3"/>
        <v>0</v>
      </c>
      <c r="AN14" s="1211">
        <f t="shared" si="3"/>
        <v>0</v>
      </c>
      <c r="AO14" s="1203">
        <f>IF(ISNUMBER(((NºAsuntos!I14/NºAsuntos!G14)*11)/factor_trimestre),((NºAsuntos!I14/NºAsuntos!G14)*11)/factor_trimestre," - ")</f>
        <v>7.2098765432098766</v>
      </c>
      <c r="AP14" s="1213" t="str">
        <f>IF(ISNUMBER(Datos!CI14/Datos!CJ14),Datos!CI14/Datos!CJ14," - ")</f>
        <v xml:space="preserve"> - </v>
      </c>
      <c r="AQ14" s="1236">
        <f t="shared" ref="AQ14:AV14" si="4">SUBTOTAL(9,AQ9:AQ13)</f>
        <v>0</v>
      </c>
      <c r="AR14" s="1236">
        <f t="shared" si="4"/>
        <v>-0.99004975124378114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315</v>
      </c>
      <c r="G17" s="552">
        <f>IF(ISNUMBER(IF(D_I="SI",Datos!I17,Datos!I17+Datos!AC17)),IF(D_I="SI",Datos!I17,Datos!I17+Datos!AC17)," - ")</f>
        <v>310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217</v>
      </c>
      <c r="Z17" s="805">
        <f>IF(ISNUMBER(Datos!Q17),Datos!Q17," - ")</f>
        <v>11</v>
      </c>
      <c r="AA17" s="551">
        <f>IF(ISNUMBER(IF(D_I="SI",Datos!L17,Datos!L17+Datos!AF17)),IF(D_I="SI",Datos!L17,Datos!L17+Datos!AF17)," - ")</f>
        <v>380</v>
      </c>
      <c r="AB17" s="549"/>
      <c r="AC17" s="549"/>
      <c r="AD17" s="563"/>
      <c r="AE17" s="563">
        <f>IF(ISNUMBER(Datos!R17),Datos!R17," - ")</f>
        <v>39</v>
      </c>
      <c r="AF17" s="693" t="str">
        <f>IF(ISNUMBER(Datos!BV17),Datos!BV17," - ")</f>
        <v xml:space="preserve"> - </v>
      </c>
      <c r="AG17" s="552"/>
      <c r="AH17" s="553"/>
      <c r="AI17" s="554"/>
      <c r="AJ17" s="552">
        <f>IF(ISNUMBER(Datos!M17),Datos!M17," - ")</f>
        <v>26</v>
      </c>
      <c r="AK17" s="693">
        <f>IF(ISNUMBER(Datos!N17),Datos!N17," - ")</f>
        <v>141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3.5023041474654377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29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1.9333333333333333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315</v>
      </c>
      <c r="G23" s="1197">
        <f>SUBTOTAL(9,G16:G22)</f>
        <v>330</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247</v>
      </c>
      <c r="Z23" s="1240">
        <f t="shared" si="6"/>
        <v>11</v>
      </c>
      <c r="AA23" s="1240">
        <f t="shared" si="6"/>
        <v>409</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30</v>
      </c>
      <c r="AK23" s="1240">
        <f t="shared" si="6"/>
        <v>159</v>
      </c>
      <c r="AL23" s="1240">
        <f t="shared" si="6"/>
        <v>0</v>
      </c>
      <c r="AM23" s="1240">
        <f t="shared" si="6"/>
        <v>0</v>
      </c>
      <c r="AN23" s="1240">
        <f t="shared" si="6"/>
        <v>0</v>
      </c>
      <c r="AO23" s="1242">
        <f>IF(ISNUMBER(((NºAsuntos!I23/NºAsuntos!G23)*11)/factor_trimestre),((NºAsuntos!I23/NºAsuntos!G23)*11)/factor_trimestre," - ")</f>
        <v>3.3117408906882591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319</v>
      </c>
      <c r="G31" s="1117">
        <f t="shared" si="12"/>
        <v>334</v>
      </c>
      <c r="H31" s="1118">
        <f t="shared" si="12"/>
        <v>0</v>
      </c>
      <c r="I31" s="1117">
        <f t="shared" si="12"/>
        <v>0</v>
      </c>
      <c r="J31" s="1119">
        <f t="shared" si="12"/>
        <v>0</v>
      </c>
      <c r="K31" s="1117">
        <f t="shared" si="12"/>
        <v>0</v>
      </c>
      <c r="L31" s="1120">
        <f t="shared" si="12"/>
        <v>0</v>
      </c>
      <c r="M31" s="1117">
        <f t="shared" si="12"/>
        <v>0</v>
      </c>
      <c r="N31" s="1118">
        <f t="shared" si="12"/>
        <v>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247</v>
      </c>
      <c r="Z31" s="1124">
        <f t="shared" si="13"/>
        <v>58</v>
      </c>
      <c r="AA31" s="1125">
        <f t="shared" si="13"/>
        <v>414</v>
      </c>
      <c r="AB31" s="1125">
        <f t="shared" si="13"/>
        <v>0</v>
      </c>
      <c r="AC31" s="1125">
        <f t="shared" si="13"/>
        <v>0</v>
      </c>
      <c r="AD31" s="1126">
        <f t="shared" si="13"/>
        <v>0</v>
      </c>
      <c r="AE31" s="1126">
        <f t="shared" si="13"/>
        <v>1257</v>
      </c>
      <c r="AF31" s="1127">
        <f t="shared" si="13"/>
        <v>0</v>
      </c>
      <c r="AG31" s="1128">
        <f t="shared" si="13"/>
        <v>0</v>
      </c>
      <c r="AH31" s="1129">
        <f t="shared" si="13"/>
        <v>0</v>
      </c>
      <c r="AI31" s="1127">
        <f t="shared" si="13"/>
        <v>0</v>
      </c>
      <c r="AJ31" s="1117">
        <f t="shared" si="13"/>
        <v>95</v>
      </c>
      <c r="AK31" s="1117">
        <f t="shared" si="13"/>
        <v>197</v>
      </c>
      <c r="AL31" s="1117">
        <f t="shared" si="13"/>
        <v>0</v>
      </c>
      <c r="AM31" s="1130">
        <f t="shared" si="13"/>
        <v>0</v>
      </c>
      <c r="AN31" s="1120">
        <f>IF(ISNUMBER(Datos!K31/Datos!J31),Datos!K31/Datos!J31," - ")</f>
        <v>0.69838420107719923</v>
      </c>
      <c r="AO31" s="1120">
        <f>IF(ISNUMBER(FIND("06",Criterios!A8,1)),(IF(ISNUMBER(((Datos!R31/Datos!Q31)*11)/factor_trimestre),((Datos!R31/Datos!Q31)*11)/factor_trimestre," - ")),(IF(ISNUMBER(((Datos!L31/Datos!K31)*11)/factor_trimestre),((Datos!L31/Datos!K31)*11)/factor_trimestre," - ")))</f>
        <v>4.987146529562982</v>
      </c>
      <c r="AP31" s="1131" t="str">
        <f>IF(ISNUMBER(Datos!CI31/Datos!CJ31),Datos!CI31/Datos!CJ31," - ")</f>
        <v xml:space="preserve"> - </v>
      </c>
      <c r="AQ31" s="1131">
        <f>IF(OR(ISNUMBER(FIND("01",Criterios!A8,1)),ISNUMBER(FIND("02",Criterios!A8,1)),ISNUMBER(FIND("03",Criterios!A8,1)),ISNUMBER(FIND("04",Criterios!A8,1))),(J31-Y31+K31)/(F31-K31),(I31-Y31+K31)/(F31-K31))</f>
        <v>-0.77429467084639503</v>
      </c>
      <c r="AR31" s="1131">
        <f>IF(ISNUMBER((Datos!P31-Datos!Q31+O31)/(Datos!R31-Datos!P31+Datos!Q31-O31)),(Datos!P31-Datos!Q31+O31)/(Datos!R31-Datos!P31+Datos!Q31-O31)," - ")</f>
        <v>2.3923444976076554E-3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161.64240367758291</v>
      </c>
      <c r="G33" s="674">
        <f>IF(ISNUMBER(STDEV(G8:G30)),STDEV(G8:G30),"-")</f>
        <v>153.6694039628114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28.105667959124748</v>
      </c>
      <c r="AK33" s="276"/>
      <c r="AL33" s="276">
        <f>IF(ISNUMBER(STDEV(AL8:AL30)),STDEV(AL8:AL30),"-")</f>
        <v>0</v>
      </c>
      <c r="AM33" s="278">
        <f>IF(ISNUMBER(STDEV(AM8:AM30)),STDEV(AM8:AM30),"-")</f>
        <v>0</v>
      </c>
      <c r="AN33" s="660">
        <f>IF(ISNUMBER(STDEV(AN8:AN30)),STDEV(AN8:AN30),"-")</f>
        <v>0</v>
      </c>
      <c r="AO33" s="661">
        <f>IF(ISNUMBER(STDEV(AO8:AO30)),STDEV(AO8:AO30),"-")</f>
        <v>2.4123614687212571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J2EscYH89/izQkUVZfxy1n/We2rBChIwwmJF9K7en+AOsaJy1+3oZcVckpMV86m8qHjo9X4zOLogwFU+5bnvw==" saltValue="n4tGszESagWslECNrQS3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cPUSC9ZW1/aeXH1OtSFRbFjx/XJVYl3AeWfn3MKjMRHZRvy4aE4mp/EsU3JTVWZ+XedXxlWbrEQoDMIR45lEA==" saltValue="YiaAyw+FX7k2iXSxL+wv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hLdcrLV46qIFpNjzyIcIj7JhEMVa73OpNBYblWt4WFi/a4Az+x8i6GBkkxB02VDlSZFmrEIFLhXqNw4TpN7DQ==" saltValue="SMZ3wiRb24cacXMOAfO2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ESTEPA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0.40123456790123457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0.2837156838094172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rfheL/VipeonCYBboEdK4Gk9mKQaupqVkcOhMu8ezTT+NhvGN0Xh53W+eDLX9hgLxMzCK6EmQ6LdpQrqwIGdQ==" saltValue="x7t/0h44jIjd/AcpJr3T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Gayt1+Bg/92oxkzlWVoAAzK8/9WOojnPDzt/o9GULU0QSOx7yCdQOnOI+p7csPaFg9SgdmxcLTmNVxzoy+XjQ==" saltValue="j5TWhhe8ntGolObrBaMp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ESTEPA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0</v>
      </c>
      <c r="H10" s="452">
        <f>IF(ISNUMBER(G10/B10),G10/B10," - ")</f>
        <v>0</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483</v>
      </c>
      <c r="D12" s="452">
        <f>IF(ISNUMBER(C12/Datos!BH12),C12/Datos!BH12," - ")</f>
        <v>241.5</v>
      </c>
      <c r="E12" s="451">
        <f>IF(ISNUMBER(IF(J_V="SI",Datos!J12,Datos!J12+Datos!Z12)),IF(J_V="SI",Datos!J12,Datos!J12+Datos!Z12)," - ")</f>
        <v>258</v>
      </c>
      <c r="F12" s="452">
        <f>IF(ISNUMBER(E12/B12),E12/B12," - ")</f>
        <v>129</v>
      </c>
      <c r="G12" s="451">
        <f>IF(ISNUMBER(IF(J_V="SI",Datos!K12,Datos!K12+Datos!AA12)),IF(J_V="SI",Datos!K12,Datos!K12+Datos!AA12)," - ")</f>
        <v>162</v>
      </c>
      <c r="H12" s="452">
        <f>IF(ISNUMBER(G12/B12),G12/B12," - ")</f>
        <v>81</v>
      </c>
      <c r="I12" s="451">
        <f>IF(ISNUMBER(IF(J_V="SI",Datos!L12,Datos!L12+Datos!AB12)),IF(J_V="SI",Datos!L12,Datos!L12+Datos!AB12)," - ")</f>
        <v>579</v>
      </c>
      <c r="J12" s="452">
        <f>IF(ISNUMBER(I12/B12),I12/B12," - ")</f>
        <v>289.5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487</v>
      </c>
      <c r="D14" s="1147" t="str">
        <f>IF(ISNUMBER(C14/Datos!BI14),C14/Datos!BI14," - ")</f>
        <v xml:space="preserve"> - </v>
      </c>
      <c r="E14" s="1146">
        <f>SUBTOTAL(9,E8:E13)</f>
        <v>259</v>
      </c>
      <c r="F14" s="1147">
        <f>IF(ISNUMBER(E14/B14),E14/B14," - ")</f>
        <v>129.5</v>
      </c>
      <c r="G14" s="1146">
        <f>SUBTOTAL(9,G8:G13)</f>
        <v>162</v>
      </c>
      <c r="H14" s="1147">
        <f>IF(ISNUMBER(G14/B14),G14/B14," - ")</f>
        <v>81</v>
      </c>
      <c r="I14" s="1146">
        <f>SUBTOTAL(9,I8:I13)</f>
        <v>584</v>
      </c>
      <c r="J14" s="1147">
        <f>IF(ISNUMBER(I14/B14),I14/B14," - ")</f>
        <v>292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310</v>
      </c>
      <c r="D17" s="452">
        <f>IF(ISNUMBER(C17/Datos!BH17),C17/Datos!BH17," - ")</f>
        <v>155</v>
      </c>
      <c r="E17" s="451">
        <f>IF(ISNUMBER(IF(D_I="SI",Datos!J17,Datos!J17+Datos!AD17)),IF(D_I="SI",Datos!J17,Datos!J17+Datos!AD17)," - ")</f>
        <v>282</v>
      </c>
      <c r="F17" s="452">
        <f>IF(ISNUMBER(E17/B17),E17/B17," - ")</f>
        <v>141</v>
      </c>
      <c r="G17" s="451">
        <f>IF(ISNUMBER(IF(D_I="SI",Datos!K17,Datos!K17+Datos!AE17)),IF(D_I="SI",Datos!K17,Datos!K17+Datos!AE17)," - ")</f>
        <v>217</v>
      </c>
      <c r="H17" s="452">
        <f>IF(ISNUMBER(G17/B17),G17/B17," - ")</f>
        <v>108.5</v>
      </c>
      <c r="I17" s="451">
        <f>IF(ISNUMBER(IF(D_I="SI",Datos!L17,Datos!L17+Datos!AF17)),IF(D_I="SI",Datos!L17,Datos!L17+Datos!AF17)," - ")</f>
        <v>380</v>
      </c>
      <c r="J17" s="452">
        <f>IF(ISNUMBER(I17/B17),I17/B17," - ")</f>
        <v>190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39</v>
      </c>
      <c r="F18" s="452">
        <f>IF(ISNUMBER(E18/B18),E18/B18," - ")</f>
        <v>39</v>
      </c>
      <c r="G18" s="451">
        <f>IF(ISNUMBER(IF(D_I="SI",Datos!K18,Datos!K18+Datos!AE18)),IF(D_I="SI",Datos!K18,Datos!K18+Datos!AE18)," - ")</f>
        <v>30</v>
      </c>
      <c r="H18" s="452">
        <f>IF(ISNUMBER(G18/B18),G18/B18," - ")</f>
        <v>30</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330</v>
      </c>
      <c r="D23" s="1147" t="str">
        <f>IF(ISNUMBER(C23/Datos!BI23),C23/Datos!BI23," - ")</f>
        <v xml:space="preserve"> - </v>
      </c>
      <c r="E23" s="1146">
        <f>SUBTOTAL(9,E15:E22)</f>
        <v>321</v>
      </c>
      <c r="F23" s="1147">
        <f>IF(ISNUMBER(E23/B23),E23/B23," - ")</f>
        <v>160.5</v>
      </c>
      <c r="G23" s="1146">
        <f>SUBTOTAL(9,G15:G22)</f>
        <v>247</v>
      </c>
      <c r="H23" s="1147">
        <f>IF(ISNUMBER(G23/B23),G23/B23," - ")</f>
        <v>123.5</v>
      </c>
      <c r="I23" s="1146">
        <f>SUBTOTAL(9,I15:I22)</f>
        <v>409</v>
      </c>
      <c r="J23" s="1147">
        <f>IF(ISNUMBER(I23/B23),I23/B23," - ")</f>
        <v>204.5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817</v>
      </c>
      <c r="D31" s="1085" t="str">
        <f>IF(ISNUMBER(C31/Datos!BI31),C31/Datos!BI31," - ")</f>
        <v xml:space="preserve"> - </v>
      </c>
      <c r="E31" s="1084">
        <f>SUBTOTAL(9,E9:E30)</f>
        <v>580</v>
      </c>
      <c r="F31" s="1085">
        <f>IF(ISNUMBER(E31/B31),E31/B31," - ")</f>
        <v>290</v>
      </c>
      <c r="G31" s="1084">
        <f>SUBTOTAL(9,G9:G30)</f>
        <v>409</v>
      </c>
      <c r="H31" s="1085">
        <f>IF(ISNUMBER(G31/B31),G31/B31," - ")</f>
        <v>204.5</v>
      </c>
      <c r="I31" s="1084">
        <f>SUBTOTAL(9,I9:I30)</f>
        <v>993</v>
      </c>
      <c r="J31" s="1085">
        <f>IF(ISNUMBER(I31/B31),I31/B31," - ")</f>
        <v>496.5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O8Y8/31wfV9niMyZKq8R1bUVIV5MrPMQ+0DOB/DRm+9YqNNUNhr7wIQtlbw1rqY3FdhzXbnVBUM/whmFuoqxQ==" saltValue="IwfL6ny6wCJXnVOKa4O3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ESTEPA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1218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7.1481481481481488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9.9502487562189053E-3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46</v>
      </c>
      <c r="AE14" s="1257">
        <f t="shared" si="1"/>
        <v>0</v>
      </c>
      <c r="AF14" s="1257">
        <f t="shared" si="1"/>
        <v>5</v>
      </c>
      <c r="AG14" s="1257">
        <f t="shared" si="1"/>
        <v>0</v>
      </c>
      <c r="AH14" s="1257">
        <f t="shared" si="1"/>
        <v>1218</v>
      </c>
      <c r="AI14" s="1257">
        <f t="shared" si="1"/>
        <v>0</v>
      </c>
      <c r="AJ14" s="1257">
        <f t="shared" si="1"/>
        <v>0</v>
      </c>
      <c r="AK14" s="1257">
        <f t="shared" si="1"/>
        <v>0</v>
      </c>
      <c r="AL14" s="1257">
        <f t="shared" si="1"/>
        <v>65</v>
      </c>
      <c r="AM14" s="1257">
        <f t="shared" si="1"/>
        <v>38</v>
      </c>
      <c r="AN14" s="1257">
        <f t="shared" si="1"/>
        <v>0</v>
      </c>
      <c r="AO14" s="1257">
        <f t="shared" si="1"/>
        <v>0</v>
      </c>
      <c r="AP14" s="1262">
        <f>IF(ISNUMBER(((Datos!L14/Datos!K14)*11)/factor_trimestre),((Datos!L14/Datos!K14)*11)/factor_trimestre," - ")</f>
        <v>7.901408450704225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9.9502487562189053E-3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3.3117408906882591</v>
      </c>
      <c r="AQ23" s="1262">
        <f>IF(ISNUMBER(((Datos!M23/Datos!L23)*11)/factor_trimestre),((Datos!M23/Datos!L23)*11)/factor_trimestre," - ")</f>
        <v>0.14669926650366749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-0.1702127659574468</v>
      </c>
      <c r="AW23" s="1265">
        <f>IF(ISNUMBER((Datos!Q23-Datos!R23)/(Datos!S23-Datos!Q23+Datos!R23)),(Datos!Q23-Datos!R23)/(Datos!S23-Datos!Q23+Datos!R23)," - ")</f>
        <v>-0.1003584229390681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46</v>
      </c>
      <c r="AE31" s="1284">
        <f t="shared" si="9"/>
        <v>0</v>
      </c>
      <c r="AF31" s="1285">
        <f t="shared" si="9"/>
        <v>5</v>
      </c>
      <c r="AG31" s="1285">
        <f t="shared" si="9"/>
        <v>0</v>
      </c>
      <c r="AH31" s="1285">
        <f t="shared" si="9"/>
        <v>1218</v>
      </c>
      <c r="AI31" s="1285">
        <f t="shared" si="9"/>
        <v>0</v>
      </c>
      <c r="AJ31" s="1286">
        <f t="shared" si="9"/>
        <v>0</v>
      </c>
      <c r="AK31" s="1286">
        <f t="shared" si="9"/>
        <v>0</v>
      </c>
      <c r="AL31" s="1278">
        <f t="shared" si="9"/>
        <v>65</v>
      </c>
      <c r="AM31" s="1278">
        <f t="shared" si="9"/>
        <v>38</v>
      </c>
      <c r="AN31" s="1278">
        <f t="shared" si="9"/>
        <v>0</v>
      </c>
      <c r="AO31" s="1278">
        <f t="shared" si="9"/>
        <v>0</v>
      </c>
      <c r="AP31" s="1278">
        <f>IF(ISNUMBER(((Datos!L31/Datos!K31)*11)/factor_trimestre),((Datos!L31/Datos!K31)*11)/factor_trimestre," - ")</f>
        <v>4.987146529562982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2.3923444976076554E-3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33.565855667130947</v>
      </c>
      <c r="AM33" s="1006"/>
      <c r="AN33" s="1006">
        <f>IF(ISNUMBER(STDEV(AN8:AN30)),STDEV(AN8:AN30),"-")</f>
        <v>0</v>
      </c>
      <c r="AO33" s="1012">
        <f>IF(ISNUMBER(STDEV(AO8:AO30)),STDEV(AO8:AO30),"-")</f>
        <v>0</v>
      </c>
      <c r="AP33" s="1065">
        <f>IF(ISNUMBER(STDEV(AP8:AP30)),STDEV(AP8:AP30),"-")</f>
        <v>2.4613840970735947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uqb5QZtb36XOvj5FQEZngLQkEUotWjyFmNAQeUZIlq/FZ1t1v8aUkwDwLoyaIfUh52jgtmiMH2779Dwpqw9JA==" saltValue="UsUDLr9NL9OWOaIZL1nj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ESTEPA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dbLLRVeinmge3YY/E7Dxmd4+WyYZn2jR2J7Vdo78aAHOi0kgU8+fhqbw/EXLRZC03dJtHbq3RwCI9cGgxxeiA==" saltValue="dY/+DRLZFyqaY0ylS4I2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ESTEPA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65</v>
      </c>
      <c r="E12" s="452">
        <f t="shared" si="0"/>
        <v>32.5</v>
      </c>
      <c r="F12" s="451">
        <f>IF(ISNUMBER(Datos!N12),Datos!N12," - ")</f>
        <v>38</v>
      </c>
      <c r="G12" s="452">
        <f t="shared" si="1"/>
        <v>19</v>
      </c>
      <c r="H12" s="451">
        <f>IF(ISNUMBER(Datos!O12),Datos!O12," - ")</f>
        <v>90</v>
      </c>
      <c r="I12" s="452">
        <f t="shared" si="2"/>
        <v>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65</v>
      </c>
      <c r="E14" s="1147">
        <f t="shared" si="0"/>
        <v>21.666666666666668</v>
      </c>
      <c r="F14" s="1146">
        <f>SUBTOTAL(9,F9:F13)</f>
        <v>38</v>
      </c>
      <c r="G14" s="1147">
        <f t="shared" si="1"/>
        <v>12.666666666666666</v>
      </c>
      <c r="H14" s="1146">
        <f>SUBTOTAL(9,H9:H13)</f>
        <v>91</v>
      </c>
      <c r="I14" s="1147">
        <f>IF(ISNUMBER(H14/B14),H14/B14," - ")</f>
        <v>30.333333333333332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26</v>
      </c>
      <c r="E17" s="452">
        <f t="shared" si="3"/>
        <v>13</v>
      </c>
      <c r="F17" s="451">
        <f>IF(ISNUMBER(Datos!N17),Datos!N17," - ")</f>
        <v>141</v>
      </c>
      <c r="G17" s="452">
        <f t="shared" si="4"/>
        <v>70.5</v>
      </c>
      <c r="H17" s="451">
        <f>IF(ISNUMBER(Datos!O17),Datos!O17," - ")</f>
        <v>11</v>
      </c>
      <c r="I17" s="452">
        <f t="shared" si="5"/>
        <v>5.5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30</v>
      </c>
      <c r="E23" s="1147">
        <f t="shared" si="3"/>
        <v>10</v>
      </c>
      <c r="F23" s="1146">
        <f>SUBTOTAL(9,F16:F22)</f>
        <v>159</v>
      </c>
      <c r="G23" s="1147">
        <f t="shared" si="4"/>
        <v>53</v>
      </c>
      <c r="H23" s="1146">
        <f>SUBTOTAL(9,H16:H22)</f>
        <v>11</v>
      </c>
      <c r="I23" s="1147">
        <f>IF(ISNUMBER(H23/B23),H23/B23," - ")</f>
        <v>3.6666666666666665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95</v>
      </c>
      <c r="E31" s="1085">
        <f>IF(ISNUMBER(D31/B31),D31/B31," - ")</f>
        <v>47.5</v>
      </c>
      <c r="F31" s="1084">
        <f>SUBTOTAL(9,F8:F30)</f>
        <v>197</v>
      </c>
      <c r="G31" s="1085">
        <f>IF(ISNUMBER(F31/B31),F31/B31," - ")</f>
        <v>98.5</v>
      </c>
      <c r="H31" s="1084">
        <f>SUBTOTAL(9,H8:H30)</f>
        <v>102</v>
      </c>
      <c r="I31" s="1085">
        <f>IF(ISNUMBER(H31/B31),H31/B31," - ")</f>
        <v>51</v>
      </c>
    </row>
    <row r="34" spans="1:1">
      <c r="A34" s="439" t="str">
        <f>Criterios!A4</f>
        <v>Fecha Informe: 06 may. 2023</v>
      </c>
    </row>
    <row r="39" spans="1:1">
      <c r="A39" s="462"/>
    </row>
  </sheetData>
  <sheetProtection algorithmName="SHA-512" hashValue="QZfe4zhbjADr8tkuYsdf9Z02tdy8iDQATg+al1KFJkeejOg0MigtmDL0a716Y/2VX4xbrTLeNwC+NGu4sFxMpA==" saltValue="7ZgdeXZckR5YzBnRTuPx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ESTEPA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v>
      </c>
      <c r="C12" s="489">
        <f>IF(ISNUMBER(Datos!Q12),Datos!Q12," - ")</f>
        <v>46</v>
      </c>
      <c r="D12" s="456">
        <f>IF(ISNUMBER(Datos!R12),Datos!R12," - ")</f>
        <v>1218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v>
      </c>
      <c r="C14" s="1150">
        <f>SUBTOTAL(9,C9:C13)</f>
        <v>47</v>
      </c>
      <c r="D14" s="1148">
        <f>SUBTOTAL(9,D9:D13)</f>
        <v>1218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11</v>
      </c>
      <c r="D17" s="456">
        <f>IF(ISNUMBER(Datos!R17),Datos!R17," - ")</f>
        <v>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11</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v>
      </c>
      <c r="C31" s="1089">
        <f>SUBTOTAL(9,C8:C30)</f>
        <v>58</v>
      </c>
      <c r="D31" s="1090">
        <f>SUBTOTAL(9,D8:D30)</f>
        <v>1257</v>
      </c>
    </row>
    <row r="32" spans="1:4" ht="7.5" customHeight="1"/>
    <row r="33" spans="1:1" ht="6" customHeight="1"/>
    <row r="34" spans="1:1">
      <c r="A34" s="439" t="str">
        <f>Criterios!A4</f>
        <v>Fecha Informe: 06 may. 2023</v>
      </c>
    </row>
    <row r="39" spans="1:1">
      <c r="A39" s="462"/>
    </row>
  </sheetData>
  <sheetProtection algorithmName="SHA-512" hashValue="sY66bpSkVjuSXKpG93PUv7vZdvnzDK515AmBaCdi12sR8uA8axN6UKy/NSo2xnZVQ2SvisAKt/gKH4/B8IUdtQ==" saltValue="l+oNusdByFlzz07fn80a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ESTEPA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-0.66666666666666663</v>
      </c>
      <c r="D10" s="515">
        <f>IF(ISNUMBER((Datos!K10-Datos!U10)/Datos!U10),(Datos!K10-Datos!U10)/Datos!U10," - ")</f>
        <v>-1</v>
      </c>
      <c r="E10" s="515">
        <f>IF(ISNUMBER((Datos!L10-Datos!V10)/Datos!V10),(Datos!L10-Datos!V10)/Datos!V10," - ")</f>
        <v>0.66666666666666663</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6.2500000000000003E-3</v>
      </c>
      <c r="C12" s="515">
        <f>IF(ISNUMBER(
   IF(J_V="SI",(Datos!J12-Datos!T12)/Datos!T12,(Datos!J12+Datos!Z12-(Datos!T12+Datos!AH12))/(Datos!T12+Datos!AH12))
     ),IF(J_V="SI",(Datos!J12-Datos!T12)/Datos!T12,(Datos!J12+Datos!Z12-(Datos!T12+Datos!AH12))/(Datos!T12+Datos!AH12))," - ")</f>
        <v>0.30964467005076141</v>
      </c>
      <c r="D12" s="515">
        <f>IF(ISNUMBER(
   IF(J_V="SI",(Datos!K12-Datos!U12)/Datos!U12,(Datos!K12+Datos!AA12-(Datos!U12+Datos!AI12))/(Datos!U12+Datos!AI12))
     ),IF(J_V="SI",(Datos!K12-Datos!U12)/Datos!U12,(Datos!K12+Datos!AA12-(Datos!U12+Datos!AI12))/(Datos!U12+Datos!AI12))," - ")</f>
        <v>-0.23584905660377359</v>
      </c>
      <c r="E12" s="515">
        <f>IF(ISNUMBER(
   IF(J_V="SI",(Datos!L12-Datos!V12)/Datos!V12,(Datos!L12+Datos!AB12-(Datos!V12+Datos!AJ12))/(Datos!V12+Datos!AJ12))
     ),IF(J_V="SI",(Datos!L12-Datos!V12)/Datos!V12,(Datos!L12+Datos!AB12-(Datos!V12+Datos!AJ12))/(Datos!V12+Datos!AJ12))," - ")</f>
        <v>0.24516129032258063</v>
      </c>
      <c r="F12" s="515">
        <f>IF(ISNUMBER((Datos!M12-Datos!W12)/Datos!W12),(Datos!M12-Datos!W12)/Datos!W12," - ")</f>
        <v>0.1206896551724138</v>
      </c>
      <c r="G12" s="516">
        <f>IF(ISNUMBER((Datos!N12-Datos!X12)/Datos!X12),(Datos!N12-Datos!X12)/Datos!X12," - ")</f>
        <v>-0.43283582089552236</v>
      </c>
      <c r="H12" s="514">
        <f>IF(ISNUMBER(((NºAsuntos!G12/NºAsuntos!E12)-Datos!BD12)/Datos!BD12),((NºAsuntos!G12/NºAsuntos!E12)-Datos!BD12)/Datos!BD12," - ")</f>
        <v>-0.41652040368582705</v>
      </c>
      <c r="I12" s="515">
        <f>IF(ISNUMBER(((NºAsuntos!I12/NºAsuntos!G12)-Datos!BE12)/Datos!BE12),((NºAsuntos!I12/NºAsuntos!G12)-Datos!BE12)/Datos!BE12," - ")</f>
        <v>0.62947033054559942</v>
      </c>
      <c r="J12" s="521">
        <f>IF(ISNUMBER((('Resol  Asuntos'!D12/NºAsuntos!G12)-Datos!BF12)/Datos!BF12),(('Resol  Asuntos'!D12/NºAsuntos!G12)-Datos!BF12)/Datos!BF12," - ")</f>
        <v>0.26957803574719003</v>
      </c>
      <c r="K12" s="522">
        <f>IF(ISNUMBER((((NºAsuntos!C12+NºAsuntos!E12)/NºAsuntos!G12)-Datos!BG12)/Datos!BG12),(((NºAsuntos!C12+NºAsuntos!E12)/NºAsuntos!G12)-Datos!BG12)/Datos!BG12," - ")</f>
        <v>0.43235406750916372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8.2815734989648039E-3</v>
      </c>
      <c r="C14" s="1152">
        <f>IF(ISNUMBER(
   IF(J_V="SI",(Datos!J14-Datos!T14)/Datos!T14,(Datos!J14+Datos!Z14-(Datos!T14+Datos!AH14))/(Datos!T14+Datos!AH14))
     ),IF(J_V="SI",(Datos!J14-Datos!T14)/Datos!T14,(Datos!J14+Datos!Z14-(Datos!T14+Datos!AH14))/(Datos!T14+Datos!AH14))," - ")</f>
        <v>0.29499999999999998</v>
      </c>
      <c r="D14" s="1152">
        <f>IF(ISNUMBER(
   IF(J_V="SI",(Datos!K14-Datos!U14)/Datos!U14,(Datos!K14+Datos!AA14-(Datos!U14+Datos!AI14))/(Datos!U14+Datos!AI14))
     ),IF(J_V="SI",(Datos!K14-Datos!U14)/Datos!U14,(Datos!K14+Datos!AA14-(Datos!U14+Datos!AI14))/(Datos!U14+Datos!AI14))," - ")</f>
        <v>-0.24651162790697675</v>
      </c>
      <c r="E14" s="1152">
        <f>IF(ISNUMBER(
   IF(J_V="SI",(Datos!L14-Datos!V14)/Datos!V14,(Datos!L14+Datos!AB14-(Datos!V14+Datos!AJ14))/(Datos!V14+Datos!AJ14))
     ),IF(J_V="SI",(Datos!L14-Datos!V14)/Datos!V14,(Datos!L14+Datos!AB14-(Datos!V14+Datos!AJ14))/(Datos!V14+Datos!AJ14))," - ")</f>
        <v>0.24786324786324787</v>
      </c>
      <c r="F14" s="1153">
        <f>IF(ISNUMBER((Datos!M14-Datos!W14)/Datos!W14),(Datos!M14-Datos!W14)/Datos!W14," - ")</f>
        <v>4.8387096774193547E-2</v>
      </c>
      <c r="G14" s="1154">
        <f>IF(ISNUMBER((Datos!N14-Datos!X14)/Datos!X14),(Datos!N14-Datos!X14)/Datos!X14," - ")</f>
        <v>-0.44117647058823528</v>
      </c>
      <c r="H14" s="1154">
        <f>IF(ISNUMBER(((NºAsuntos!G14/NºAsuntos!E14)-Datos!BD14)/Datos!BD14),((NºAsuntos!G14/NºAsuntos!E14)-Datos!BD14)/Datos!BD14," - ")</f>
        <v>-0.4181556972254647</v>
      </c>
      <c r="I14" s="1154">
        <f>IF(ISNUMBER(((NºAsuntos!I14/NºAsuntos!G14)-Datos!BE14)/Datos!BE14),((NºAsuntos!I14/NºAsuntos!G14)-Datos!BE14)/Datos!BE14," - ")</f>
        <v>0.65611480426295232</v>
      </c>
      <c r="J14" s="1154">
        <f>IF(ISNUMBER((('Resol  Asuntos'!D14/NºAsuntos!G14)-Datos!BF14)/Datos!BF14),(('Resol  Asuntos'!D14/NºAsuntos!G14)-Datos!BF14)/Datos!BF14," - ")</f>
        <v>0.21500608589810466</v>
      </c>
      <c r="K14" s="1154">
        <f>IF(ISNUMBER((((NºAsuntos!C14+NºAsuntos!E14)/NºAsuntos!G14)-Datos!BG14)/Datos!BG14),(((NºAsuntos!C14+NºAsuntos!E14)/NºAsuntos!G14)-Datos!BG14)/Datos!BG14," - ")</f>
        <v>0.44957793322849443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0.35371179039301309</v>
      </c>
      <c r="C17" s="515">
        <f>IF(ISNUMBER(
   IF(D_I="SI",(Datos!J17-Datos!T17)/Datos!T17,(Datos!J17+Datos!AD17-(Datos!T17+Datos!AL17))/(Datos!T17+Datos!AL17))
     ),IF(D_I="SI",(Datos!J17-Datos!T17)/Datos!T17,(Datos!J17+Datos!AD17-(Datos!T17+Datos!AL17))/(Datos!T17+Datos!AL17))," - ")</f>
        <v>5.6179775280898875E-2</v>
      </c>
      <c r="D17" s="515">
        <f>IF(ISNUMBER(
   IF(D_I="SI",(Datos!K17-Datos!U17)/Datos!U17,(Datos!K17+Datos!AE17-(Datos!U17+Datos!AM17))/(Datos!U17+Datos!AM17))
     ),IF(D_I="SI",(Datos!K17-Datos!U17)/Datos!U17,(Datos!K17+Datos!AE17-(Datos!U17+Datos!AM17))/(Datos!U17+Datos!AM17))," - ")</f>
        <v>-0.16216216216216217</v>
      </c>
      <c r="E17" s="515">
        <f>IF(ISNUMBER(
   IF(D_I="SI",(Datos!L17-Datos!V17)/Datos!V17,(Datos!L17+Datos!AF17-(Datos!V17+Datos!AN17))/(Datos!V17+Datos!AN17))
     ),IF(D_I="SI",(Datos!L17-Datos!V17)/Datos!V17,(Datos!L17+Datos!AF17-(Datos!V17+Datos!AN17))/(Datos!V17+Datos!AN17))," - ")</f>
        <v>0.55737704918032782</v>
      </c>
      <c r="F17" s="515">
        <f>IF(ISNUMBER((Datos!M17-Datos!W17)/Datos!W17),(Datos!M17-Datos!W17)/Datos!W17," - ")</f>
        <v>-0.23529411764705882</v>
      </c>
      <c r="G17" s="516">
        <f>IF(ISNUMBER((Datos!N17-Datos!X17)/Datos!X17),(Datos!N17-Datos!X17)/Datos!X17," - ")</f>
        <v>-0.15568862275449102</v>
      </c>
      <c r="H17" s="514">
        <f>IF(ISNUMBER(((NºAsuntos!G17/NºAsuntos!E17)-Datos!BD17)/Datos!BD17),((NºAsuntos!G17/NºAsuntos!E17)-Datos!BD17)/Datos!BD17," - ")</f>
        <v>-0.2067280046003451</v>
      </c>
      <c r="I17" s="515">
        <f>IF(ISNUMBER(((NºAsuntos!I17/NºAsuntos!G17)-Datos!BE17)/Datos!BE17),((NºAsuntos!I17/NºAsuntos!G17)-Datos!BE17)/Datos!BE17," - ")</f>
        <v>0.85880486515071386</v>
      </c>
      <c r="J17" s="521">
        <f>IF(ISNUMBER((('Resol  Asuntos'!D17/NºAsuntos!G17)-Datos!BF17)/Datos!BF17),(('Resol  Asuntos'!D17/NºAsuntos!G17)-Datos!BF17)/Datos!BF17," - ")</f>
        <v>-8.7286527514231452E-2</v>
      </c>
      <c r="K17" s="522">
        <f>IF(ISNUMBER((((NºAsuntos!C17+NºAsuntos!E17)/NºAsuntos!G17)-Datos!BG17)/Datos!BG17),(((NºAsuntos!C17+NºAsuntos!E17)/NºAsuntos!G17)-Datos!BG17)/Datos!BG17," - ")</f>
        <v>0.42455775234131127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-9.0909090909090912E-2</v>
      </c>
      <c r="C18" s="515">
        <f>IF(ISNUMBER(
   IF(D_I="SI",(Datos!J18-Datos!T18)/Datos!T18,(Datos!J18+Datos!AD18-(Datos!T18+Datos!AL18))/(Datos!T18+Datos!AL18))
     ),IF(D_I="SI",(Datos!J18-Datos!T18)/Datos!T18,(Datos!J18+Datos!AD18-(Datos!T18+Datos!AL18))/(Datos!T18+Datos!AL18))," - ")</f>
        <v>0.18181818181818182</v>
      </c>
      <c r="D18" s="515">
        <f>IF(ISNUMBER(
   IF(D_I="SI",(Datos!K18-Datos!U18)/Datos!U18,(Datos!K18+Datos!AE18-(Datos!U18+Datos!AM18))/(Datos!U18+Datos!AM18))
     ),IF(D_I="SI",(Datos!K18-Datos!U18)/Datos!U18,(Datos!K18+Datos!AE18-(Datos!U18+Datos!AM18))/(Datos!U18+Datos!AM18))," - ")</f>
        <v>0.1111111111111111</v>
      </c>
      <c r="E18" s="515">
        <f>IF(ISNUMBER(
   IF(D_I="SI",(Datos!L18-Datos!V18)/Datos!V18,(Datos!L18+Datos!AF18-(Datos!V18+Datos!AN18))/(Datos!V18+Datos!AN18))
     ),IF(D_I="SI",(Datos!L18-Datos!V18)/Datos!V18,(Datos!L18+Datos!AF18-(Datos!V18+Datos!AN18))/(Datos!V18+Datos!AN18))," - ")</f>
        <v>3.5714285714285712E-2</v>
      </c>
      <c r="F18" s="515">
        <f>IF(ISNUMBER((Datos!M18-Datos!W18)/Datos!W18),(Datos!M18-Datos!W18)/Datos!W18," - ")</f>
        <v>0.33333333333333331</v>
      </c>
      <c r="G18" s="516">
        <f>IF(ISNUMBER((Datos!N18-Datos!X18)/Datos!X18),(Datos!N18-Datos!X18)/Datos!X18," - ")</f>
        <v>5.8823529411764705E-2</v>
      </c>
      <c r="H18" s="514">
        <f>IF(ISNUMBER(((NºAsuntos!G18/NºAsuntos!E18)-Datos!BD18)/Datos!BD18),((NºAsuntos!G18/NºAsuntos!E18)-Datos!BD18)/Datos!BD18," - ")</f>
        <v>-5.9829059829059832E-2</v>
      </c>
      <c r="I18" s="515">
        <f>IF(ISNUMBER(((NºAsuntos!I18/NºAsuntos!G18)-Datos!BE18)/Datos!BE18),((NºAsuntos!I18/NºAsuntos!G18)-Datos!BE18)/Datos!BE18," - ")</f>
        <v>-6.7857142857142796E-2</v>
      </c>
      <c r="J18" s="521">
        <f>IF(ISNUMBER((('Resol  Asuntos'!D18/NºAsuntos!G18)-Datos!BF18)/Datos!BF18),(('Resol  Asuntos'!D18/NºAsuntos!G18)-Datos!BF18)/Datos!BF18," - ")</f>
        <v>0.20000000000000004</v>
      </c>
      <c r="K18" s="522">
        <f>IF(ISNUMBER((((NºAsuntos!C18+NºAsuntos!E18)/NºAsuntos!G18)-Datos!BG18)/Datos!BG18),(((NºAsuntos!C18+NºAsuntos!E18)/NºAsuntos!G18)-Datos!BG18)/Datos!BG18," - ")</f>
        <v>-3.4545454545454678E-2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0.3147410358565737</v>
      </c>
      <c r="C23" s="1152">
        <f>IF(ISNUMBER(
   IF(Criterios!B14="SI",(Datos!J23-Datos!T23)/Datos!T23,(Datos!J23+Datos!AD23-(Datos!T23+Datos!AL23))/(Datos!T23+Datos!AL23))
     ),IF(Criterios!B14="SI",(Datos!J23-Datos!T23)/Datos!T23,(Datos!J23+Datos!AD23-(Datos!T23+Datos!AL23))/(Datos!T23+Datos!AL23))," - ")</f>
        <v>7.0000000000000007E-2</v>
      </c>
      <c r="D23" s="1152">
        <f>IF(ISNUMBER(
   IF(Criterios!B14="SI",(Datos!K23-Datos!U23)/Datos!U23,(Datos!K23+Datos!AE23-(Datos!U23+Datos!AM23))/(Datos!U23+Datos!AM23))
     ),IF(Criterios!B14="SI",(Datos!K23-Datos!U23)/Datos!U23,(Datos!K23+Datos!AE23-(Datos!U23+Datos!AM23))/(Datos!U23+Datos!AM23))," - ")</f>
        <v>-0.13636363636363635</v>
      </c>
      <c r="E23" s="1152">
        <f>IF(ISNUMBER(
   IF(Criterios!B14="SI",(Datos!L23-Datos!V23)/Datos!V23,(Datos!L23+Datos!AF23-(Datos!V23+Datos!AN23))/(Datos!V23+Datos!AN23))
     ),IF(Criterios!B14="SI",(Datos!L23-Datos!V23)/Datos!V23,(Datos!L23+Datos!AF23-(Datos!V23+Datos!AN23))/(Datos!V23+Datos!AN23))," - ")</f>
        <v>0.50367647058823528</v>
      </c>
      <c r="F23" s="1153">
        <f>IF(ISNUMBER((Datos!M23-Datos!W23)/Datos!W23),(Datos!M23-Datos!W23)/Datos!W23," - ")</f>
        <v>-0.1891891891891892</v>
      </c>
      <c r="G23" s="1154">
        <f>IF(ISNUMBER((Datos!N23-Datos!X23)/Datos!X23),(Datos!N23-Datos!X23)/Datos!X23," - ")</f>
        <v>-0.1358695652173913</v>
      </c>
      <c r="H23" s="1154">
        <f>IF(ISNUMBER(((NºAsuntos!G23/NºAsuntos!E23)-Datos!BD23)/Datos!BD23),((NºAsuntos!G23/NºAsuntos!E23)-Datos!BD23)/Datos!BD23," - ")</f>
        <v>-0.19286321155480041</v>
      </c>
      <c r="I23" s="1154">
        <f>IF(ISNUMBER(((NºAsuntos!I23/NºAsuntos!G23)-Datos!BE23)/Datos!BE23),((NºAsuntos!I23/NºAsuntos!G23)-Datos!BE23)/Datos!BE23," - ")</f>
        <v>0.74109907120743035</v>
      </c>
      <c r="J23" s="1154">
        <f>IF(ISNUMBER((('Resol  Asuntos'!D23/NºAsuntos!G23)-Datos!BF23)/Datos!BF23),(('Resol  Asuntos'!D23/NºAsuntos!G23)-Datos!BF23)/Datos!BF23," - ")</f>
        <v>-6.1166429587482293E-2</v>
      </c>
      <c r="K23" s="1154">
        <f>IF(ISNUMBER((((NºAsuntos!C23+NºAsuntos!E23)/NºAsuntos!G23)-Datos!BG23)/Datos!BG23),(((NºAsuntos!C23+NºAsuntos!E23)/NºAsuntos!G23)-Datos!BG23)/Datos!BG23," - ")</f>
        <v>0.36803897220364873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0.11307901907356949</v>
      </c>
      <c r="C31" s="1092">
        <f>IF(ISNUMBER(
   IF(J_V="SI",(Datos!J31-Datos!T31)/Datos!T31,(Datos!J31+Datos!Z31-(Datos!T31+Datos!AH31))/(Datos!T31+Datos!AH31))
     ),IF(J_V="SI",(Datos!J31-Datos!T31)/Datos!T31,(Datos!J31+Datos!Z31-(Datos!T31+Datos!AH31))/(Datos!T31+Datos!AH31))," - ")</f>
        <v>0.16</v>
      </c>
      <c r="D31" s="1092">
        <f>IF(ISNUMBER(
   IF(J_V="SI",(Datos!K31-Datos!U31)/Datos!U31,(Datos!K31+Datos!AA31-(Datos!U31+Datos!AI31))/(Datos!U31+Datos!AI31))
     ),IF(J_V="SI",(Datos!K31-Datos!U31)/Datos!U31,(Datos!K31+Datos!AA31-(Datos!U31+Datos!AI31))/(Datos!U31+Datos!AI31))," - ")</f>
        <v>-0.18363273453093812</v>
      </c>
      <c r="E31" s="1092">
        <f>IF(ISNUMBER(
   IF(J_V="SI",(Datos!L31-Datos!V31)/Datos!V31,(Datos!L31+Datos!AB31-(Datos!V31+Datos!AJ31))/(Datos!V31+Datos!AJ31))
     ),IF(J_V="SI",(Datos!L31-Datos!V31)/Datos!V31,(Datos!L31+Datos!AB31-(Datos!V31+Datos!AJ31))/(Datos!V31+Datos!AJ31))," - ")</f>
        <v>0.3418918918918919</v>
      </c>
      <c r="F31" s="1093">
        <f>IF(ISNUMBER((Datos!M31-Datos!W31)/Datos!W31),(Datos!M31-Datos!W31)/Datos!W31," - ")</f>
        <v>-4.0404040404040407E-2</v>
      </c>
      <c r="G31" s="1094">
        <f>IF(ISNUMBER((Datos!N31-Datos!X31)/Datos!X31),(Datos!N31-Datos!X31)/Datos!X31," - ")</f>
        <v>-0.21825396825396826</v>
      </c>
      <c r="H31" s="1095">
        <f>IF(ISNUMBER((Tasas!B31-Datos!BD31)/Datos!BD31),(Tasas!B31-Datos!BD31)/Datos!BD31," - ")</f>
        <v>-0.29623511597494662</v>
      </c>
      <c r="I31" s="1096">
        <f>IF(ISNUMBER((Tasas!C31-Datos!BE31)/Datos!BE31),(Tasas!C31-Datos!BE31)/Datos!BE31," - ")</f>
        <v>0.64373554483578932</v>
      </c>
      <c r="J31" s="1097">
        <f>IF(ISNUMBER((Tasas!D31-Datos!BF31)/Datos!BF31),(Tasas!D31-Datos!BF31)/Datos!BF31," - ")</f>
        <v>7.7492529204020555E-2</v>
      </c>
      <c r="K31" s="1097">
        <f>IF(ISNUMBER((Tasas!E31-Datos!BG31)/Datos!BG31),(Tasas!E31-Datos!BG31)/Datos!BG31," - ")</f>
        <v>0.38674198444242791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kK27cwnZQnKtYEhWNSXLGraMJury3boXbSnH0+pDYK+WyWgj2mp/rW+JlI2z+6pgHoz4xr1LmbMPDjvpNSDtQ==" saltValue="K25jvn8Dr51Q3Dz7bt5J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ESTEPA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0.62790697674418605</v>
      </c>
      <c r="C12" s="498">
        <f>IF(ISNUMBER(NºAsuntos!I12/NºAsuntos!G12),NºAsuntos!I12/NºAsuntos!G12," - ")</f>
        <v>3.574074074074074</v>
      </c>
      <c r="D12" s="499">
        <f>IF(ISNUMBER('Resol  Asuntos'!D12/NºAsuntos!G12),'Resol  Asuntos'!D12/NºAsuntos!G12," - ")</f>
        <v>0.40123456790123457</v>
      </c>
      <c r="E12" s="500">
        <f>IF(ISNUMBER((NºAsuntos!C12+NºAsuntos!E12)/NºAsuntos!G12),(NºAsuntos!C12+NºAsuntos!E12)/NºAsuntos!G12," - ")</f>
        <v>4.5740740740740744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0.62548262548262545</v>
      </c>
      <c r="C14" s="1156">
        <f>IF(ISNUMBER(NºAsuntos!I14/NºAsuntos!G14),NºAsuntos!I14/NºAsuntos!G14," - ")</f>
        <v>3.6049382716049383</v>
      </c>
      <c r="D14" s="1157">
        <f>IF(ISNUMBER('Resol  Asuntos'!D14/NºAsuntos!G14),'Resol  Asuntos'!D14/NºAsuntos!G14," - ")</f>
        <v>0.40123456790123457</v>
      </c>
      <c r="E14" s="1158">
        <f>IF(ISNUMBER((NºAsuntos!C14+NºAsuntos!E14)/NºAsuntos!G14),(NºAsuntos!C14+NºAsuntos!E14)/NºAsuntos!G14," - ")</f>
        <v>4.6049382716049383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0.76950354609929073</v>
      </c>
      <c r="C17" s="498">
        <f>IF(ISNUMBER(NºAsuntos!I17/NºAsuntos!G17),NºAsuntos!I17/NºAsuntos!G17," - ")</f>
        <v>1.7511520737327189</v>
      </c>
      <c r="D17" s="499">
        <f>IF(ISNUMBER('Resol  Asuntos'!D17/NºAsuntos!G17),'Resol  Asuntos'!D17/NºAsuntos!G17," - ")</f>
        <v>0.11981566820276497</v>
      </c>
      <c r="E17" s="500">
        <f>IF(ISNUMBER((NºAsuntos!C17+NºAsuntos!E17)/NºAsuntos!G17),(NºAsuntos!C17+NºAsuntos!E17)/NºAsuntos!G17," - ")</f>
        <v>2.7281105990783412</v>
      </c>
      <c r="G17" s="523"/>
    </row>
    <row r="18" spans="1:7">
      <c r="A18" s="450" t="str">
        <f>Datos!A18</f>
        <v>Jdos. Violencia contra la mujer</v>
      </c>
      <c r="B18" s="497">
        <f>IF(ISNUMBER(NºAsuntos!G18/NºAsuntos!E18),NºAsuntos!G18/NºAsuntos!E18," - ")</f>
        <v>0.76923076923076927</v>
      </c>
      <c r="C18" s="498">
        <f>IF(ISNUMBER(NºAsuntos!I18/NºAsuntos!G18),NºAsuntos!I18/NºAsuntos!G18," - ")</f>
        <v>0.96666666666666667</v>
      </c>
      <c r="D18" s="499">
        <f>IF(ISNUMBER('Resol  Asuntos'!D18/NºAsuntos!G18),'Resol  Asuntos'!D18/NºAsuntos!G18," - ")</f>
        <v>0.13333333333333333</v>
      </c>
      <c r="E18" s="500">
        <f>IF(ISNUMBER((NºAsuntos!C18+NºAsuntos!E18)/NºAsuntos!G18),(NºAsuntos!C18+NºAsuntos!E18)/NºAsuntos!G18," - ")</f>
        <v>1.9666666666666666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0.76947040498442365</v>
      </c>
      <c r="C23" s="1156">
        <f>IF(ISNUMBER(NºAsuntos!I23/NºAsuntos!G23),NºAsuntos!I23/NºAsuntos!G23," - ")</f>
        <v>1.6558704453441295</v>
      </c>
      <c r="D23" s="1159">
        <f>IF(ISNUMBER('Resol  Asuntos'!D23/NºAsuntos!G23),'Resol  Asuntos'!D23/NºAsuntos!G23," - ")</f>
        <v>0.1214574898785425</v>
      </c>
      <c r="E23" s="1158">
        <f>IF(ISNUMBER((NºAsuntos!C23+NºAsuntos!E23)/NºAsuntos!G23),(NºAsuntos!C23+NºAsuntos!E23)/NºAsuntos!G23," - ")</f>
        <v>2.6356275303643724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0.70517241379310347</v>
      </c>
      <c r="C31" s="1099">
        <f>IF(ISNUMBER(NºAsuntos!I31/NºAsuntos!G31),NºAsuntos!I31/NºAsuntos!G31," - ")</f>
        <v>2.4278728606356967</v>
      </c>
      <c r="D31" s="1100">
        <f>IF(ISNUMBER('Resol  Asuntos'!D31/NºAsuntos!G31),'Resol  Asuntos'!D31/NºAsuntos!G31," - ")</f>
        <v>0.23227383863080683</v>
      </c>
      <c r="E31" s="1101">
        <f>IF(ISNUMBER((NºAsuntos!C31+NºAsuntos!E31)/NºAsuntos!G31),(NºAsuntos!C31+NºAsuntos!E31)/NºAsuntos!G31," - ")</f>
        <v>3.415647921760391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SqZUpvhE51dBOOQEeWhsRmUMObhGeB5+FY4Ge+4xuCaHl0VkkyHWNoGRuHwg8y2XSUqi65LHJDAhBJ+n21PjA==" saltValue="flnwDW3RzlcpS0QrtKt2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ESTEPA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46</v>
      </c>
      <c r="Y12" s="374">
        <f t="shared" si="0"/>
        <v>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1218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0.62790697674418605</v>
      </c>
      <c r="AM12" s="284">
        <f>IF(ISNUMBER(((NºAsuntos!I12/NºAsuntos!G12)*11)/factor_trimestre),((NºAsuntos!I12/NºAsuntos!G12)*11)/factor_trimestre," - ")</f>
        <v>7.1481481481481488</v>
      </c>
      <c r="AN12" s="267">
        <f>IF(ISNUMBER('Resol  Asuntos'!D12/NºAsuntos!G12),'Resol  Asuntos'!D12/NºAsuntos!G12," - ")</f>
        <v>0.40123456790123457</v>
      </c>
      <c r="AO12" s="268">
        <f>IF(ISNUMBER((NºAsuntos!C12+NºAsuntos!E12)/NºAsuntos!G12),(NºAsuntos!C12+NºAsuntos!E12)/NºAsuntos!G12," - ")</f>
        <v>4.5740740740740744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47</v>
      </c>
      <c r="Y14" s="1165">
        <f t="shared" si="6"/>
        <v>47</v>
      </c>
      <c r="Z14" s="1165">
        <f t="shared" si="6"/>
        <v>0</v>
      </c>
      <c r="AA14" s="1165">
        <f t="shared" si="6"/>
        <v>5</v>
      </c>
      <c r="AB14" s="1165">
        <f t="shared" si="6"/>
        <v>1218</v>
      </c>
      <c r="AC14" s="1165">
        <f t="shared" si="6"/>
        <v>5</v>
      </c>
      <c r="AD14" s="1165">
        <f t="shared" si="6"/>
        <v>0</v>
      </c>
      <c r="AE14" s="1169">
        <f t="shared" si="6"/>
        <v>0</v>
      </c>
      <c r="AF14" s="1162">
        <f t="shared" si="6"/>
        <v>0</v>
      </c>
      <c r="AG14" s="1170">
        <f t="shared" si="6"/>
        <v>0</v>
      </c>
      <c r="AH14" s="1167">
        <f t="shared" si="6"/>
        <v>0</v>
      </c>
      <c r="AI14" s="1162">
        <f t="shared" si="6"/>
        <v>65</v>
      </c>
      <c r="AJ14" s="1164">
        <f t="shared" si="6"/>
        <v>0</v>
      </c>
      <c r="AK14" s="1167">
        <f>SUBTOTAL(9,AK9:AK13)</f>
        <v>0</v>
      </c>
      <c r="AL14" s="1171">
        <f>IF(ISNUMBER(NºAsuntos!G14/NºAsuntos!E14),NºAsuntos!G14/NºAsuntos!E14," - ")</f>
        <v>0.62548262548262545</v>
      </c>
      <c r="AM14" s="1171">
        <f>IF(ISNUMBER(((NºAsuntos!I14/NºAsuntos!G14)*11)/factor_trimestre),((NºAsuntos!I14/NºAsuntos!G14)*11)/factor_trimestre," - ")</f>
        <v>7.2098765432098766</v>
      </c>
      <c r="AN14" s="1172">
        <f>IF(ISNUMBER('Resol  Asuntos'!D14/NºAsuntos!G14),'Resol  Asuntos'!D14/NºAsuntos!G14," - ")</f>
        <v>0.40123456790123457</v>
      </c>
      <c r="AO14" s="1173">
        <f>IF(ISNUMBER((NºAsuntos!C14+NºAsuntos!E14)/NºAsuntos!G14),(NºAsuntos!C14+NºAsuntos!E14)/NºAsuntos!G14," - ")</f>
        <v>4.6049382716049383</v>
      </c>
      <c r="AP14" s="1174" t="str">
        <f t="shared" si="2"/>
        <v xml:space="preserve"> - </v>
      </c>
      <c r="AQ14" s="1174">
        <f>IF(ISNUMBER((H14-W14+K14)/(F14)),(H14-W14+K14)/(F14)," - ")</f>
        <v>0</v>
      </c>
      <c r="AR14" s="1175">
        <f>IF(ISNUMBER((Datos!P14-Datos!Q14)/(Datos!R14-Datos!P14+Datos!Q14)),(Datos!P14-Datos!Q14)/(Datos!R14-Datos!P14+Datos!Q14)," - ")</f>
        <v>9.1135045567522777E-3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315</v>
      </c>
      <c r="G17" s="373">
        <f>IF(ISNUMBER(IF(D_I="SI",Datos!I17,Datos!I17+Datos!AC17)),IF(D_I="SI",Datos!I17,Datos!I17+Datos!AC17)," - ")</f>
        <v>310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217</v>
      </c>
      <c r="X17" s="240">
        <f>IF(ISNUMBER(Datos!Q17),Datos!Q17," - ")</f>
        <v>11</v>
      </c>
      <c r="Y17" s="374">
        <f t="shared" ref="Y17:Y22" si="9">SUM(W17:X17)</f>
        <v>228</v>
      </c>
      <c r="Z17" s="375" t="str">
        <f>IF(ISNUMBER(Datos!CC17),Datos!CC17," - ")</f>
        <v xml:space="preserve"> - </v>
      </c>
      <c r="AA17" s="372">
        <f>IF(ISNUMBER(IF(D_I="SI",Datos!L17,Datos!L17+Datos!AF17)),IF(D_I="SI",Datos!L17,Datos!L17+Datos!AF17)," - ")</f>
        <v>380</v>
      </c>
      <c r="AB17" s="374">
        <f>IF(ISNUMBER(Datos!R17),Datos!R17," - ")</f>
        <v>39</v>
      </c>
      <c r="AC17" s="374">
        <f t="shared" si="8"/>
        <v>419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0.76950354609929073</v>
      </c>
      <c r="AM17" s="284">
        <f>IF(ISNUMBER(((NºAsuntos!I17/NºAsuntos!G17)*11)/factor_trimestre),((NºAsuntos!I17/NºAsuntos!G17)*11)/factor_trimestre," - ")</f>
        <v>3.5023041474654377</v>
      </c>
      <c r="AN17" s="267">
        <f>IF(ISNUMBER('Resol  Asuntos'!D17/NºAsuntos!G17),'Resol  Asuntos'!D17/NºAsuntos!G17," - ")</f>
        <v>0.11981566820276497</v>
      </c>
      <c r="AO17" s="268">
        <f>IF(ISNUMBER((NºAsuntos!C17+NºAsuntos!E17)/NºAsuntos!G17),(NºAsuntos!C17+NºAsuntos!E17)/NºAsuntos!G17," - ")</f>
        <v>2.7281105990783412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29</v>
      </c>
      <c r="AB18" s="374">
        <f>IF(ISNUMBER(Datos!R18),Datos!R18," - ")</f>
        <v>0</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0.76923076923076927</v>
      </c>
      <c r="AM18" s="284">
        <f>IF(ISNUMBER(((NºAsuntos!I18/NºAsuntos!G18)*11)/factor_trimestre),((NºAsuntos!I18/NºAsuntos!G18)*11)/factor_trimestre," - ")</f>
        <v>1.9333333333333333</v>
      </c>
      <c r="AN18" s="267">
        <f>IF(ISNUMBER('Resol  Asuntos'!D18/NºAsuntos!G18),'Resol  Asuntos'!D18/NºAsuntos!G18," - ")</f>
        <v>0.13333333333333333</v>
      </c>
      <c r="AO18" s="268">
        <f>IF(ISNUMBER((NºAsuntos!C18+NºAsuntos!E18)/NºAsuntos!G18),(NºAsuntos!C18+NºAsuntos!E18)/NºAsuntos!G18," - ")</f>
        <v>1.9666666666666666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315</v>
      </c>
      <c r="G23" s="1163">
        <f>SUBTOTAL(9,G16:G22)</f>
        <v>330</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247</v>
      </c>
      <c r="X23" s="1164">
        <f t="shared" si="14"/>
        <v>11</v>
      </c>
      <c r="Y23" s="1165">
        <f t="shared" si="14"/>
        <v>258</v>
      </c>
      <c r="Z23" s="1165">
        <f t="shared" si="14"/>
        <v>0</v>
      </c>
      <c r="AA23" s="1165">
        <f t="shared" si="14"/>
        <v>409</v>
      </c>
      <c r="AB23" s="1165">
        <f t="shared" si="14"/>
        <v>39</v>
      </c>
      <c r="AC23" s="1165">
        <f t="shared" si="14"/>
        <v>448</v>
      </c>
      <c r="AD23" s="1165">
        <f t="shared" si="14"/>
        <v>0</v>
      </c>
      <c r="AE23" s="1169">
        <f t="shared" si="14"/>
        <v>0</v>
      </c>
      <c r="AF23" s="1162">
        <f t="shared" si="14"/>
        <v>0</v>
      </c>
      <c r="AG23" s="1170">
        <f t="shared" si="14"/>
        <v>0</v>
      </c>
      <c r="AH23" s="1167">
        <f t="shared" si="14"/>
        <v>0</v>
      </c>
      <c r="AI23" s="1162">
        <f t="shared" si="14"/>
        <v>30</v>
      </c>
      <c r="AJ23" s="1164">
        <f t="shared" si="14"/>
        <v>0</v>
      </c>
      <c r="AK23" s="1167">
        <f t="shared" si="14"/>
        <v>0</v>
      </c>
      <c r="AL23" s="1171">
        <f>IF(ISNUMBER(NºAsuntos!G23/NºAsuntos!E23),NºAsuntos!G23/NºAsuntos!E23," - ")</f>
        <v>0.76947040498442365</v>
      </c>
      <c r="AM23" s="1171">
        <f>IF(ISNUMBER(((NºAsuntos!I23/NºAsuntos!G23)*11)/factor_trimestre),((NºAsuntos!I23/NºAsuntos!G23)*11)/factor_trimestre," - ")</f>
        <v>3.3117408906882591</v>
      </c>
      <c r="AN23" s="1172">
        <f>IF(ISNUMBER('Resol  Asuntos'!D23/NºAsuntos!G23),'Resol  Asuntos'!D23/NºAsuntos!G23," - ")</f>
        <v>0.1214574898785425</v>
      </c>
      <c r="AO23" s="1173">
        <f>IF(ISNUMBER((NºAsuntos!C23+NºAsuntos!E23)/NºAsuntos!G23),(NºAsuntos!C23+NºAsuntos!E23)/NºAsuntos!G23," - ")</f>
        <v>2.6356275303643724</v>
      </c>
      <c r="AP23" s="1174" t="str">
        <f t="shared" si="2"/>
        <v xml:space="preserve"> - </v>
      </c>
      <c r="AQ23" s="1174">
        <f>IF(ISNUMBER((H23-W23+K23)/(F23)),(H23-W23+K23)/(F23)," - ")</f>
        <v>-0.78412698412698412</v>
      </c>
      <c r="AR23" s="1175">
        <f>IF(ISNUMBER((Datos!P23-Datos!Q23)/(Datos!R23-Datos!P23+Datos!Q23)),(Datos!P23-Datos!Q23)/(Datos!R23-Datos!P23+Datos!Q23)," - ")</f>
        <v>-0.1702127659574468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319</v>
      </c>
      <c r="G31" s="1118">
        <f t="shared" si="20"/>
        <v>334</v>
      </c>
      <c r="H31" s="1117">
        <f t="shared" si="20"/>
        <v>0</v>
      </c>
      <c r="I31" s="1119">
        <f t="shared" si="20"/>
        <v>0</v>
      </c>
      <c r="J31" s="1119">
        <f t="shared" si="20"/>
        <v>0</v>
      </c>
      <c r="K31" s="1180">
        <f t="shared" si="20"/>
        <v>0</v>
      </c>
      <c r="L31" s="1119">
        <f t="shared" si="20"/>
        <v>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247</v>
      </c>
      <c r="X31" s="1118">
        <f t="shared" si="21"/>
        <v>58</v>
      </c>
      <c r="Y31" s="1125">
        <f t="shared" si="21"/>
        <v>305</v>
      </c>
      <c r="Z31" s="1125">
        <f t="shared" si="21"/>
        <v>0</v>
      </c>
      <c r="AA31" s="1125">
        <f t="shared" si="21"/>
        <v>414</v>
      </c>
      <c r="AB31" s="1125">
        <f t="shared" si="21"/>
        <v>1257</v>
      </c>
      <c r="AC31" s="1125">
        <f t="shared" si="21"/>
        <v>453</v>
      </c>
      <c r="AD31" s="1125">
        <f t="shared" si="21"/>
        <v>0</v>
      </c>
      <c r="AE31" s="1127">
        <f t="shared" si="21"/>
        <v>0</v>
      </c>
      <c r="AF31" s="1128">
        <f t="shared" si="21"/>
        <v>0</v>
      </c>
      <c r="AG31" s="1129">
        <f t="shared" si="21"/>
        <v>0</v>
      </c>
      <c r="AH31" s="1127">
        <f t="shared" si="21"/>
        <v>0</v>
      </c>
      <c r="AI31" s="1117">
        <f t="shared" si="21"/>
        <v>95</v>
      </c>
      <c r="AJ31" s="1117">
        <f t="shared" si="21"/>
        <v>0</v>
      </c>
      <c r="AK31" s="1127">
        <f t="shared" si="21"/>
        <v>0</v>
      </c>
      <c r="AL31" s="1183">
        <f>IF(ISNUMBER(NºAsuntos!G31/NºAsuntos!E31),NºAsuntos!G31/NºAsuntos!E31," - ")</f>
        <v>0.70517241379310347</v>
      </c>
      <c r="AM31" s="1184">
        <f>IF(ISNUMBER(((NºAsuntos!I31/NºAsuntos!G31)*11)/factor_trimestre),((NºAsuntos!I31/NºAsuntos!G31)*11)/factor_trimestre," - ")</f>
        <v>4.8557457212713935</v>
      </c>
      <c r="AN31" s="1184">
        <f>IF(ISNUMBER('Resol  Asuntos'!D31/NºAsuntos!G31),'Resol  Asuntos'!D31/NºAsuntos!G31," - ")</f>
        <v>0.23227383863080683</v>
      </c>
      <c r="AO31" s="1185">
        <f>IF(ISNUMBER((NºAsuntos!C31+NºAsuntos!E31)/NºAsuntos!G31),(NºAsuntos!C31+NºAsuntos!E31)/NºAsuntos!G31," - ")</f>
        <v>3.415647921760391</v>
      </c>
      <c r="AP31" s="1186" t="str">
        <f t="shared" si="2"/>
        <v xml:space="preserve"> - </v>
      </c>
      <c r="AQ31" s="1187">
        <f>IF(OR(ISNUMBER(FIND("01",Criterios!A8,1)),ISNUMBER(FIND("02",Criterios!A8,1)),ISNUMBER(FIND("03",Criterios!A8,1)),ISNUMBER(FIND("04",Criterios!A8,1))),(I31-W31+K31)/(F31-K31),(H31-W31+K31)/(F31-K31))</f>
        <v>-0.77429467084639503</v>
      </c>
      <c r="AR31" s="1188">
        <f>IF(ISNUMBER((Datos!P31-Datos!Q31)/(Datos!R31-Datos!P31+Datos!Q31)),(Datos!P31-Datos!Q31)/(Datos!R31-Datos!P31+Datos!Q31)," - ")</f>
        <v>2.3923444976076554E-3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161.64240367758291</v>
      </c>
      <c r="G33" s="277">
        <f>IF(ISNUMBER(STDEV(G8:G30)),STDEV(G8:G30),"-")</f>
        <v>153.6694039628114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111.15733165631667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28.105667959124748</v>
      </c>
      <c r="AJ33" s="276">
        <f t="shared" si="25"/>
        <v>0</v>
      </c>
      <c r="AK33" s="278">
        <f t="shared" si="25"/>
        <v>0</v>
      </c>
      <c r="AL33" s="273">
        <f t="shared" si="25"/>
        <v>0.29908963687694068</v>
      </c>
      <c r="AM33" s="274">
        <f t="shared" si="25"/>
        <v>2.4123614687212571</v>
      </c>
      <c r="AN33" s="274">
        <f t="shared" si="25"/>
        <v>0.15146158299410389</v>
      </c>
      <c r="AO33" s="275">
        <f t="shared" si="25"/>
        <v>1.2116452601204233</v>
      </c>
      <c r="AP33" s="317" t="str">
        <f t="shared" si="25"/>
        <v>-</v>
      </c>
      <c r="AQ33" s="318">
        <f t="shared" si="25"/>
        <v>0.55446150778754677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ExilOBBCxVsH3nuwPlHOlmT4BkBcyBo0dp/Oe3ElCMJc7cKv4cPInsVTxirt8sQulSVxHZoviLjoIKjtJoY8A==" saltValue="x+uKaGI3m0Pv9+fs8aVb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ESTEPA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-0.66666666666666663</v>
      </c>
      <c r="F10" s="393">
        <f>IF(ISNUMBER((Datos!K10-Datos!U10)/Datos!U10),(Datos!K10-Datos!U10)/Datos!U10," - ")</f>
        <v>-1</v>
      </c>
      <c r="G10" s="394">
        <f>IF(ISNUMBER((Datos!L10-Datos!V10)/Datos!V10),(Datos!L10-Datos!V10)/Datos!V10," - ")</f>
        <v>0.66666666666666663</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0.1206896551724138</v>
      </c>
      <c r="I12" s="395">
        <f>IF(ISNUMBER((Tasas!C12-Datos!BE12)/Datos!BE12),(Tasas!C12-Datos!BE12)/Datos!BE12," - ")</f>
        <v>0.62947033054559942</v>
      </c>
      <c r="J12" s="394">
        <f>IF(ISNUMBER((Tasas!D12-Datos!BF12)/Datos!BF12),(Tasas!D12-Datos!BF12)/Datos!BF12," - ")</f>
        <v>0.26957803574719003</v>
      </c>
      <c r="K12" s="396">
        <f>IF(ISNUMBER((Tasas!E12-Datos!BG12)/Datos!BG12),(Tasas!E12-Datos!BG12)/Datos!BG12," - ")</f>
        <v>0.43235406750916372</v>
      </c>
      <c r="M12" t="e">
        <f>IF(Monitorios="SI",Datos!CE12,0)</f>
        <v>#REF!</v>
      </c>
      <c r="N12" t="e">
        <f>IF(Monitorios="SI",Datos!CF12,0)</f>
        <v>#REF!</v>
      </c>
      <c r="O12" t="e">
        <f>IF(Monitorios="SI",Datos!CG12,0)</f>
        <v>#REF!</v>
      </c>
      <c r="P12" t="e">
        <f>IF(Monitorios="SI",Datos!CH12,0)</f>
        <v>#REF!</v>
      </c>
      <c r="Q12">
        <f>IF(J_V="SI",0,Datos!AG12)</f>
        <v>19</v>
      </c>
      <c r="R12">
        <f>IF(J_V="SI",0,Datos!AH12)</f>
        <v>12</v>
      </c>
      <c r="S12">
        <f>IF(J_V="SI",0,Datos!AI12)</f>
        <v>16</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4.8387096774193547E-2</v>
      </c>
      <c r="I14" s="402">
        <f>IF(ISNUMBER((Tasas!C14-Datos!BE14)/Datos!BE14),(Tasas!C14-Datos!BE14)/Datos!BE14," - ")</f>
        <v>0.65611480426295232</v>
      </c>
      <c r="J14" s="400">
        <f>IF(ISNUMBER((Tasas!D14-Datos!BF14)/Datos!BF14),(Tasas!D14-Datos!BF14)/Datos!BF14," - ")</f>
        <v>0.21500608589810466</v>
      </c>
      <c r="K14" s="403">
        <f>IF(ISNUMBER((Tasas!E14-Datos!BG14)/Datos!BG14),(Tasas!E14-Datos!BG14)/Datos!BG14," - ")</f>
        <v>0.44957793322849443</v>
      </c>
      <c r="M14" t="e">
        <f>IF(Monitorios="SI",Datos!CE14,0)</f>
        <v>#REF!</v>
      </c>
      <c r="N14" t="e">
        <f>IF(Monitorios="SI",Datos!CF14,0)</f>
        <v>#REF!</v>
      </c>
      <c r="O14" t="e">
        <f>IF(Monitorios="SI",Datos!CG14,0)</f>
        <v>#REF!</v>
      </c>
      <c r="P14" t="e">
        <f>IF(Monitorios="SI",Datos!CH14,0)</f>
        <v>#REF!</v>
      </c>
      <c r="Q14">
        <f>IF(J_V="SI",0,Datos!AG14)</f>
        <v>19</v>
      </c>
      <c r="R14">
        <f>IF(J_V="SI",0,Datos!AH14)</f>
        <v>12</v>
      </c>
      <c r="S14">
        <f>IF(J_V="SI",0,Datos!AI14)</f>
        <v>16</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0.35371179039301309</v>
      </c>
      <c r="E17" s="393">
        <f>IF(ISNUMBER(
   IF(D_I="SI",(Datos!J17-Datos!T17)/Datos!T17,(Datos!J17+Datos!AD17-(Datos!T17+Datos!AL17))/(Datos!T17+Datos!AL17))
     ),IF(D_I="SI",(Datos!J17-Datos!T17)/Datos!T17,(Datos!J17+Datos!AD17-(Datos!T17+Datos!AL17))/(Datos!T17+Datos!AL17))," - ")</f>
        <v>5.6179775280898875E-2</v>
      </c>
      <c r="F17" s="393">
        <f>IF(ISNUMBER(
   IF(D_I="SI",(Datos!K17-Datos!U17)/Datos!U17,(Datos!K17+Datos!AE17-(Datos!U17+Datos!AM17))/(Datos!U17+Datos!AM17))
     ),IF(D_I="SI",(Datos!K17-Datos!U17)/Datos!U17,(Datos!K17+Datos!AE17-(Datos!U17+Datos!AM17))/(Datos!U17+Datos!AM17))," - ")</f>
        <v>-0.16216216216216217</v>
      </c>
      <c r="G17" s="394">
        <f>IF(ISNUMBER(
   IF(D_I="SI",(Datos!L17-Datos!V17)/Datos!V17,(Datos!L17+Datos!AF17-(Datos!V17+Datos!AN17))/(Datos!V17+Datos!AN17))
     ),IF(D_I="SI",(Datos!L17-Datos!V17)/Datos!V17,(Datos!L17+Datos!AF17-(Datos!V17+Datos!AN17))/(Datos!V17+Datos!AN17))," - ")</f>
        <v>0.55737704918032782</v>
      </c>
      <c r="H17" s="244">
        <f>IF(ISNUMBER((Datos!M17-Datos!W17)/Datos!W17),(Datos!M17-Datos!W17)/Datos!W17," - ")</f>
        <v>-0.23529411764705882</v>
      </c>
      <c r="I17" s="395">
        <f>IF(ISNUMBER((Tasas!C17-Datos!BE17)/Datos!BE17),(Tasas!C17-Datos!BE17)/Datos!BE17," - ")</f>
        <v>0.85880486515071386</v>
      </c>
      <c r="J17" s="394">
        <f>IF(ISNUMBER((Tasas!D17-Datos!BF17)/Datos!BF17),(Tasas!D17-Datos!BF17)/Datos!BF17," - ")</f>
        <v>-8.7286527514231452E-2</v>
      </c>
      <c r="K17" s="396">
        <f>IF(ISNUMBER((Tasas!E17-Datos!BG17)/Datos!BG17),(Tasas!E17-Datos!BG17)/Datos!BG17," - ")</f>
        <v>0.42455775234131127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-9.0909090909090912E-2</v>
      </c>
      <c r="E18" s="393">
        <f>IF(ISNUMBER(
   IF(D_I="SI",(Datos!J18-Datos!T18)/Datos!T18,(Datos!J18+Datos!AD18-(Datos!T18+Datos!AL18))/(Datos!T18+Datos!AL18))
     ),IF(D_I="SI",(Datos!J18-Datos!T18)/Datos!T18,(Datos!J18+Datos!AD18-(Datos!T18+Datos!AL18))/(Datos!T18+Datos!AL18))," - ")</f>
        <v>0.18181818181818182</v>
      </c>
      <c r="F18" s="393">
        <f>IF(ISNUMBER(
   IF(D_I="SI",(Datos!K18-Datos!U18)/Datos!U18,(Datos!K18+Datos!AE18-(Datos!U18+Datos!AM18))/(Datos!U18+Datos!AM18))
     ),IF(D_I="SI",(Datos!K18-Datos!U18)/Datos!U18,(Datos!K18+Datos!AE18-(Datos!U18+Datos!AM18))/(Datos!U18+Datos!AM18))," - ")</f>
        <v>0.1111111111111111</v>
      </c>
      <c r="G18" s="394">
        <f>IF(ISNUMBER(
   IF(D_I="SI",(Datos!L18-Datos!V18)/Datos!V18,(Datos!L18+Datos!AF18-(Datos!V18+Datos!AN18))/(Datos!V18+Datos!AN18))
     ),IF(D_I="SI",(Datos!L18-Datos!V18)/Datos!V18,(Datos!L18+Datos!AF18-(Datos!V18+Datos!AN18))/(Datos!V18+Datos!AN18))," - ")</f>
        <v>3.5714285714285712E-2</v>
      </c>
      <c r="H18" s="244">
        <f>IF(ISNUMBER((Datos!M18-Datos!W18)/Datos!W18),(Datos!M18-Datos!W18)/Datos!W18," - ")</f>
        <v>0.33333333333333331</v>
      </c>
      <c r="I18" s="395">
        <f>IF(ISNUMBER((Tasas!C18-Datos!BE18)/Datos!BE18),(Tasas!C18-Datos!BE18)/Datos!BE18," - ")</f>
        <v>-6.7857142857142796E-2</v>
      </c>
      <c r="J18" s="394">
        <f>IF(ISNUMBER((Tasas!D18-Datos!BF18)/Datos!BF18),(Tasas!D18-Datos!BF18)/Datos!BF18," - ")</f>
        <v>0.20000000000000004</v>
      </c>
      <c r="K18" s="396">
        <f>IF(ISNUMBER((Tasas!E18-Datos!BG18)/Datos!BG18),(Tasas!E18-Datos!BG18)/Datos!BG18," - ")</f>
        <v>-3.4545454545454678E-2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0.3147410358565737</v>
      </c>
      <c r="E23" s="399">
        <f>IF(ISNUMBER(
   IF(D_I="SI",(Datos!J23-Datos!T23)/Datos!T23,(Datos!J23+Datos!AD23-(Datos!T23+Datos!AL23))/(Datos!T23+Datos!AL23))
     ),IF(D_I="SI",(Datos!J23-Datos!T23)/Datos!T23,(Datos!J23+Datos!AD23-(Datos!T23+Datos!AL23))/(Datos!T23+Datos!AL23))," - ")</f>
        <v>7.0000000000000007E-2</v>
      </c>
      <c r="F23" s="399">
        <f>IF(ISNUMBER(
   IF(D_I="SI",(Datos!K23-Datos!U23)/Datos!U23,(Datos!K23+Datos!AE23-(Datos!U23+Datos!AM23))/(Datos!U23+Datos!AM23))
     ),IF(D_I="SI",(Datos!K23-Datos!U23)/Datos!U23,(Datos!K23+Datos!AE23-(Datos!U23+Datos!AM23))/(Datos!U23+Datos!AM23))," - ")</f>
        <v>-0.13636363636363635</v>
      </c>
      <c r="G23" s="400">
        <f>IF(ISNUMBER(
   IF(D_I="SI",(Datos!L23-Datos!V23)/Datos!V23,(Datos!L23+Datos!AF23-(Datos!V23+Datos!AN23))/(Datos!V23+Datos!AN23))
     ),IF(D_I="SI",(Datos!L23-Datos!V23)/Datos!V23,(Datos!L23+Datos!AF23-(Datos!V23+Datos!AN23))/(Datos!V23+Datos!AN23))," - ")</f>
        <v>0.50367647058823528</v>
      </c>
      <c r="H23" s="401">
        <f>IF(ISNUMBER((Datos!M23-Datos!W23)/Datos!W23),(Datos!M23-Datos!W23)/Datos!W23," - ")</f>
        <v>-0.1891891891891892</v>
      </c>
      <c r="I23" s="402">
        <f>IF(ISNUMBER((Tasas!C23-Datos!BE23)/Datos!BE23),(Tasas!C23-Datos!BE23)/Datos!BE23," - ")</f>
        <v>0.74109907120743035</v>
      </c>
      <c r="J23" s="400">
        <f>IF(ISNUMBER((Tasas!D23-Datos!BF23)/Datos!BF23),(Tasas!D23-Datos!BF23)/Datos!BF23," - ")</f>
        <v>-6.1166429587482293E-2</v>
      </c>
      <c r="K23" s="403">
        <f>IF(ISNUMBER((Tasas!E23-Datos!BG23)/Datos!BG23),(Tasas!E23-Datos!BG23)/Datos!BG23," - ")</f>
        <v>0.36803897220364873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0.11307901907356949</v>
      </c>
      <c r="E31" s="409">
        <f>IF(ISNUMBER(
   IF(J_V="SI",(Datos!J31-Datos!T31)/Datos!T31,(Datos!J31+Datos!Z31-(Datos!T31+Datos!AH31))/(Datos!T31+Datos!AH31))
     ),IF(J_V="SI",(Datos!J31-Datos!T31)/Datos!T31,(Datos!J31+Datos!Z31-(Datos!T31+Datos!AH31))/(Datos!T31+Datos!AH31))," - ")</f>
        <v>0.16</v>
      </c>
      <c r="F31" s="409">
        <f>IF(ISNUMBER(
   IF(J_V="SI",(Datos!K31-Datos!U31)/Datos!U31,(Datos!K31+Datos!AA31-(Datos!U31+Datos!AI31))/(Datos!U31+Datos!AI31))
     ),IF(J_V="SI",(Datos!K31-Datos!U31)/Datos!U31,(Datos!K31+Datos!AA31-(Datos!U31+Datos!AI31))/(Datos!U31+Datos!AI31))," - ")</f>
        <v>-0.18363273453093812</v>
      </c>
      <c r="G31" s="410">
        <f>IF(ISNUMBER(
   IF(J_V="SI",(Datos!L31-Datos!V31)/Datos!V31,(Datos!L31+Datos!AB31-(Datos!V31+Datos!AJ31))/(Datos!V31+Datos!AJ31))
     ),IF(J_V="SI",(Datos!L31-Datos!V31)/Datos!V31,(Datos!L31+Datos!AB31-(Datos!V31+Datos!AJ31))/(Datos!V31+Datos!AJ31))," - ")</f>
        <v>0.3418918918918919</v>
      </c>
      <c r="H31" s="411">
        <f>IF(ISNUMBER((Datos!M31-Datos!W31)/Datos!W31),(Datos!M31-Datos!W31)/Datos!W31," - ")</f>
        <v>-4.0404040404040407E-2</v>
      </c>
      <c r="I31" s="408">
        <f>IF(ISNUMBER((Tasas!C31-Datos!BE31)/Datos!BE31),(Tasas!C31-Datos!BE31)/Datos!BE31," - ")</f>
        <v>0.64373554483578932</v>
      </c>
      <c r="J31" s="409">
        <f>IF(ISNUMBER((Tasas!D31-Datos!BF31)/Datos!BF31),(Tasas!D31-Datos!BF31)/Datos!BF31," - ")</f>
        <v>7.7492529204020555E-2</v>
      </c>
      <c r="K31" s="410">
        <f>IF(ISNUMBER((Tasas!E31-Datos!BG31)/Datos!BG31),(Tasas!E31-Datos!BG31)/Datos!BG31," - ")</f>
        <v>0.38674198444242791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0.21301429191267215</v>
      </c>
      <c r="E33" s="303">
        <f t="shared" si="1"/>
        <v>0.38875770175822316</v>
      </c>
      <c r="F33" s="303">
        <f t="shared" si="1"/>
        <v>0.48468164025462368</v>
      </c>
      <c r="G33" s="304">
        <f t="shared" si="1"/>
        <v>0.27848029986243</v>
      </c>
      <c r="H33" s="310">
        <f t="shared" si="1"/>
        <v>0.46421355327718483</v>
      </c>
      <c r="I33" s="302">
        <f t="shared" si="1"/>
        <v>0.36410431826335926</v>
      </c>
      <c r="J33" s="303">
        <f t="shared" si="1"/>
        <v>0.16790836727627531</v>
      </c>
      <c r="K33" s="304">
        <f t="shared" si="1"/>
        <v>0.20496139309742367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emZLYuLKxtFNqIALUN2tWS/ndHUtCnxAA7Oi7tdnxfLG9oSphpPtDLhPVNvrsnDELkSdDD2sAy8buD5VJ9y7w==" saltValue="CyqtmBw1XBp7W0UDDWMk6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